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2" yWindow="65488" windowWidth="9576" windowHeight="4728" activeTab="0"/>
  </bookViews>
  <sheets>
    <sheet name="ステータス計算機" sheetId="1" r:id="rId1"/>
    <sheet name="エラー案件" sheetId="2" r:id="rId2"/>
    <sheet name="ver履歴" sheetId="3" r:id="rId3"/>
  </sheets>
  <definedNames/>
  <calcPr fullCalcOnLoad="1"/>
</workbook>
</file>

<file path=xl/sharedStrings.xml><?xml version="1.0" encoding="utf-8"?>
<sst xmlns="http://schemas.openxmlformats.org/spreadsheetml/2006/main" count="284" uniqueCount="175">
  <si>
    <t>5☆零段</t>
  </si>
  <si>
    <t>←二つ選択する</t>
  </si>
  <si>
    <t>1☆零段</t>
  </si>
  <si>
    <t>1☆一段</t>
  </si>
  <si>
    <t>1☆二段</t>
  </si>
  <si>
    <t>1☆三段</t>
  </si>
  <si>
    <t>1☆四段</t>
  </si>
  <si>
    <t>2☆零段</t>
  </si>
  <si>
    <t>2☆一段</t>
  </si>
  <si>
    <t>2☆二段</t>
  </si>
  <si>
    <t>2☆三段</t>
  </si>
  <si>
    <t>2☆四段</t>
  </si>
  <si>
    <t>3☆零段</t>
  </si>
  <si>
    <t>3☆一段</t>
  </si>
  <si>
    <t>3☆二段</t>
  </si>
  <si>
    <t>3☆三段</t>
  </si>
  <si>
    <t>3☆四段</t>
  </si>
  <si>
    <t>4☆零段</t>
  </si>
  <si>
    <t>4☆一段</t>
  </si>
  <si>
    <t>4☆二段</t>
  </si>
  <si>
    <t>4☆三段</t>
  </si>
  <si>
    <t>4☆四段</t>
  </si>
  <si>
    <t>攻撃(加算能力）</t>
  </si>
  <si>
    <t>防衛(加算能力)</t>
  </si>
  <si>
    <t>ランク</t>
  </si>
  <si>
    <t>レベル</t>
  </si>
  <si>
    <t>ポーラ</t>
  </si>
  <si>
    <t>フライ(エレン)</t>
  </si>
  <si>
    <t>コーデリア</t>
  </si>
  <si>
    <t>アンカ</t>
  </si>
  <si>
    <t>エリン(時崎狂三)</t>
  </si>
  <si>
    <t>レベッカ(誘宵美九)</t>
  </si>
  <si>
    <t>↑英雄を選択する</t>
  </si>
  <si>
    <t>パッツィ</t>
  </si>
  <si>
    <t>アリア</t>
  </si>
  <si>
    <t>ルミエール</t>
  </si>
  <si>
    <t>ルカ</t>
  </si>
  <si>
    <t>パール</t>
  </si>
  <si>
    <t>イザベラ</t>
  </si>
  <si>
    <t>ソリン</t>
  </si>
  <si>
    <t>マディ(ゴジコ)</t>
  </si>
  <si>
    <t>エイミー</t>
  </si>
  <si>
    <t>ラシュー</t>
  </si>
  <si>
    <t>メリル</t>
  </si>
  <si>
    <t>ベアトリクス</t>
  </si>
  <si>
    <t>キャロル</t>
  </si>
  <si>
    <t>マコト</t>
  </si>
  <si>
    <t>ティナ</t>
  </si>
  <si>
    <t>シエル(めぐみん)</t>
  </si>
  <si>
    <t>SSR</t>
  </si>
  <si>
    <t>###</t>
  </si>
  <si>
    <t>SR</t>
  </si>
  <si>
    <t>R</t>
  </si>
  <si>
    <t>ver1.00</t>
  </si>
  <si>
    <t>ver1.01</t>
  </si>
  <si>
    <t>・計算式の修正・一部SSR英雄の追加</t>
  </si>
  <si>
    <t>ver1.02</t>
  </si>
  <si>
    <t>ラグノ(夜刀神十香)</t>
  </si>
  <si>
    <t>ランチ(五河琴里)</t>
  </si>
  <si>
    <t>アイ(鳶一折紙)</t>
  </si>
  <si>
    <t>マイン(七罪)</t>
  </si>
  <si>
    <t>ハイム(八舞耶倶矢)</t>
  </si>
  <si>
    <t>セリーナ(八舞夕弦)</t>
  </si>
  <si>
    <t>リコ(四糸乃)</t>
  </si>
  <si>
    <t>・計算式の変更・英雄の追加・誤植の訂正</t>
  </si>
  <si>
    <t>マーテル</t>
  </si>
  <si>
    <t>ver1.03</t>
  </si>
  <si>
    <t>一斉放火(ザフキエル)</t>
  </si>
  <si>
    <t>・マーテルを追加・エリン英雄固有スキル値を試験導入・その他不具合の修正</t>
  </si>
  <si>
    <t>強襲攻撃</t>
  </si>
  <si>
    <t>攻撃感知</t>
  </si>
  <si>
    <t>海のイカリ</t>
  </si>
  <si>
    <t>慈愛の抱擁</t>
  </si>
  <si>
    <t>静かなる怒り(エクスプロージョン)</t>
  </si>
  <si>
    <t>鮫特攻(神殺しの弾丸)</t>
  </si>
  <si>
    <t>業火全域</t>
  </si>
  <si>
    <t>ミサイル</t>
  </si>
  <si>
    <t>HEAT弾</t>
  </si>
  <si>
    <t>衝撃波(駆逐してやる!!)</t>
  </si>
  <si>
    <t>精密射撃</t>
  </si>
  <si>
    <t>高火力</t>
  </si>
  <si>
    <t>FMJ弾</t>
  </si>
  <si>
    <t>最強防御</t>
  </si>
  <si>
    <t>戦地補修</t>
  </si>
  <si>
    <t>塹壕</t>
  </si>
  <si>
    <t>士気高揚</t>
  </si>
  <si>
    <t>全速出撃</t>
  </si>
  <si>
    <t>積載増加</t>
  </si>
  <si>
    <t>狂喜乱舞(放射熱線)</t>
  </si>
  <si>
    <t>隠密行動</t>
  </si>
  <si>
    <t>カノン砲(サンダルフォン)</t>
  </si>
  <si>
    <t>ヘルファイア(カマエル)</t>
  </si>
  <si>
    <t>フレア(メタトロン)</t>
  </si>
  <si>
    <t>スタン(ガブリエル)</t>
  </si>
  <si>
    <t>ロケット弾(ラファエル)</t>
  </si>
  <si>
    <t>大型ミサイル(ラファエル)</t>
  </si>
  <si>
    <t>スモーク(ザドキエル)</t>
  </si>
  <si>
    <t>ver1.04</t>
  </si>
  <si>
    <t>固有スキル(一部英雄のみ）</t>
  </si>
  <si>
    <t>シクル</t>
  </si>
  <si>
    <t>暴走採集</t>
  </si>
  <si>
    <t>ver1.05</t>
  </si>
  <si>
    <t>・英雄選択枠の増加・比較項目を追加・シクルの追加</t>
  </si>
  <si>
    <t>ver1.06</t>
  </si>
  <si>
    <t>-</t>
  </si>
  <si>
    <t>攻撃</t>
  </si>
  <si>
    <t>防衛</t>
  </si>
  <si>
    <t>レベル上昇値(攻撃)</t>
  </si>
  <si>
    <t>レベル上昇値(防衛)</t>
  </si>
  <si>
    <t>段上昇値(攻撃)</t>
  </si>
  <si>
    <t>段上昇値(防衛)</t>
  </si>
  <si>
    <t>フーカ</t>
  </si>
  <si>
    <t>途中まで予想範囲内で推移するが、一定の後半ステータスがブレる⇒小数点が悪さしている可能性</t>
  </si>
  <si>
    <t>-</t>
  </si>
  <si>
    <t>■ステータス関連</t>
  </si>
  <si>
    <t>・推定固有スキル計算式を変更及び各英雄のスキル値の見直し・正確でない項目をエラー案件に羅列</t>
  </si>
  <si>
    <t>###</t>
  </si>
  <si>
    <t>###</t>
  </si>
  <si>
    <t>■スキル関連</t>
  </si>
  <si>
    <t>全般</t>
  </si>
  <si>
    <t>試験運用のため一部英雄のみ、さらに1レベル0.1単位で誤差有り</t>
  </si>
  <si>
    <t>ver1.07</t>
  </si>
  <si>
    <t>膝丸燈</t>
  </si>
  <si>
    <t>膝丸</t>
  </si>
  <si>
    <t>ver1.08</t>
  </si>
  <si>
    <t>ミミ（メリオダス）</t>
  </si>
  <si>
    <t>汚物消毒（神千切り）</t>
  </si>
  <si>
    <t>・表示法の変更・一部英雄の固有スキル値の追加（シクル、コーデリア）</t>
  </si>
  <si>
    <t>・ステータス、スキル計算式の変更・英雄固有スキル値の見直し・一部英雄固有値の追加、加筆（メリル、ミミ）</t>
  </si>
  <si>
    <t>・メリオダス、エイミーの推定固有スキル値の追加・その他修正、加筆</t>
  </si>
  <si>
    <t>ver1.09</t>
  </si>
  <si>
    <t>八乙女撫子</t>
  </si>
  <si>
    <t>鬼人斬破・三連</t>
  </si>
  <si>
    <t>草薙素子&amp;早田進次郎</t>
  </si>
  <si>
    <t>熱光学迷彩</t>
  </si>
  <si>
    <t>ジュリア(御坂美琴)</t>
  </si>
  <si>
    <t>・一部英雄パラメータの変更・一部英雄の固有スキル値の追加（マーテル、マディ)</t>
  </si>
  <si>
    <t>ver1.10</t>
  </si>
  <si>
    <t>★未取得</t>
  </si>
  <si>
    <t>ベアトリクス</t>
  </si>
  <si>
    <t>戦場熱狂(超電磁砲)</t>
  </si>
  <si>
    <t>古代進</t>
  </si>
  <si>
    <t>波動砲</t>
  </si>
  <si>
    <t>フーカ(ハンク)</t>
  </si>
  <si>
    <t>段上昇値</t>
  </si>
  <si>
    <t>レベル上昇値</t>
  </si>
  <si>
    <t>ver1.11</t>
  </si>
  <si>
    <t>・英雄を追加(古代進)、統合(ジュリアを御坂美琴に統合)・一部英雄固有スキルの追加（フライ、ラシュー、ジュリア)</t>
  </si>
  <si>
    <t>-</t>
  </si>
  <si>
    <t>-</t>
  </si>
  <si>
    <t>ヤン</t>
  </si>
  <si>
    <t>奇跡の魔術</t>
  </si>
  <si>
    <t>シムナ</t>
  </si>
  <si>
    <t>ハントタイム</t>
  </si>
  <si>
    <t>高速補給</t>
  </si>
  <si>
    <t>・古代進の英雄固有スキル値の見直し。・英雄を追加(ヤン、シムナ)※シムナは項目のみ・その他修正</t>
  </si>
  <si>
    <t>ver2.00α</t>
  </si>
  <si>
    <t>初期値</t>
  </si>
  <si>
    <t>付随条件</t>
  </si>
  <si>
    <t>機雷源(ハニエル)</t>
  </si>
  <si>
    <t>-</t>
  </si>
  <si>
    <t>ラインハルト</t>
  </si>
  <si>
    <t>黄金の翼</t>
  </si>
  <si>
    <t>ver1.11.1</t>
  </si>
  <si>
    <t>・シムナの加筆</t>
  </si>
  <si>
    <t>・統率値によるスキル値上昇に対応予定・ラインハルトの欄を追加</t>
  </si>
  <si>
    <t>ティナ</t>
  </si>
  <si>
    <t>攻撃力1</t>
  </si>
  <si>
    <t>防衛力1</t>
  </si>
  <si>
    <t>攻撃力2</t>
  </si>
  <si>
    <t>防衛力2</t>
  </si>
  <si>
    <t>スキル値1</t>
  </si>
  <si>
    <t>スキル値2</t>
  </si>
  <si>
    <t>スキル値1</t>
  </si>
  <si>
    <t>スキル値2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</si>
</sst>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0.0_ "/>
    <numFmt numFmtId="179" formatCode="0.00_ "/>
    <numFmt numFmtId="180" formatCode="0.000_ "/>
    <numFmt numFmtId="181" formatCode="0.0000_ "/>
    <numFmt numFmtId="182" formatCode="0.00000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0.000%"/>
    <numFmt numFmtId="190" formatCode="0.000000_ "/>
    <numFmt numFmtId="191" formatCode="0_ ;[Red]\-0\ "/>
    <numFmt numFmtId="192" formatCode="[Red]0.000%"/>
    <numFmt numFmtId="193" formatCode="0.0_ ;[Red]\-0.0\ "/>
    <numFmt numFmtId="194" formatCode="0.00_ ;[Red]\-0.00\ "/>
    <numFmt numFmtId="195" formatCode="0.000_ ;[Red]\-0.000\ "/>
    <numFmt numFmtId="196" formatCode="0.000%;[Red]\-0.000%"/>
    <numFmt numFmtId="197" formatCode="0.0000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191" fontId="0" fillId="0" borderId="3" xfId="0" applyNumberFormat="1" applyFill="1" applyBorder="1" applyAlignment="1">
      <alignment vertical="center"/>
    </xf>
    <xf numFmtId="191" fontId="0" fillId="0" borderId="5" xfId="0" applyNumberFormat="1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78" fontId="0" fillId="0" borderId="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189" fontId="0" fillId="0" borderId="3" xfId="15" applyNumberFormat="1" applyBorder="1" applyAlignment="1">
      <alignment horizontal="right" vertical="center"/>
    </xf>
    <xf numFmtId="189" fontId="0" fillId="0" borderId="8" xfId="15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96" fontId="0" fillId="0" borderId="12" xfId="15" applyNumberFormat="1" applyBorder="1" applyAlignment="1">
      <alignment horizontal="right" vertical="center"/>
    </xf>
    <xf numFmtId="196" fontId="0" fillId="0" borderId="13" xfId="15" applyNumberFormat="1" applyBorder="1" applyAlignment="1">
      <alignment horizontal="right" vertical="center"/>
    </xf>
    <xf numFmtId="196" fontId="0" fillId="0" borderId="14" xfId="15" applyNumberFormat="1" applyBorder="1" applyAlignment="1">
      <alignment horizontal="right" vertical="center"/>
    </xf>
    <xf numFmtId="196" fontId="0" fillId="0" borderId="15" xfId="15" applyNumberFormat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1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2" width="30.75390625" style="0" customWidth="1"/>
    <col min="3" max="4" width="9.00390625" style="0" bestFit="1" customWidth="1"/>
    <col min="6" max="6" width="8.875" style="0" customWidth="1"/>
    <col min="7" max="7" width="2.125" style="0" hidden="1" customWidth="1"/>
    <col min="8" max="11" width="8.875" style="0" hidden="1" customWidth="1"/>
    <col min="12" max="12" width="1.25" style="0" hidden="1" customWidth="1"/>
    <col min="13" max="31" width="8.875" style="0" hidden="1" customWidth="1"/>
    <col min="32" max="32" width="4.75390625" style="0" hidden="1" customWidth="1"/>
    <col min="33" max="52" width="8.875" style="0" hidden="1" customWidth="1"/>
    <col min="53" max="53" width="0.37109375" style="0" hidden="1" customWidth="1"/>
    <col min="54" max="54" width="8.875" style="0" customWidth="1"/>
  </cols>
  <sheetData>
    <row r="1" spans="1:53" ht="12.75">
      <c r="A1" s="7" t="s">
        <v>166</v>
      </c>
      <c r="B1" s="5" t="s">
        <v>24</v>
      </c>
      <c r="C1" s="28" t="s">
        <v>2</v>
      </c>
      <c r="D1" s="29"/>
      <c r="E1" s="27" t="s">
        <v>1</v>
      </c>
      <c r="F1" s="27"/>
      <c r="H1" t="s">
        <v>49</v>
      </c>
      <c r="I1" t="s">
        <v>105</v>
      </c>
      <c r="J1" t="s">
        <v>106</v>
      </c>
      <c r="K1" t="s">
        <v>107</v>
      </c>
      <c r="L1" t="s">
        <v>108</v>
      </c>
      <c r="M1" t="s">
        <v>109</v>
      </c>
      <c r="N1" t="s">
        <v>110</v>
      </c>
      <c r="O1" t="s">
        <v>167</v>
      </c>
      <c r="P1" t="s">
        <v>168</v>
      </c>
      <c r="Q1" t="s">
        <v>169</v>
      </c>
      <c r="R1" t="s">
        <v>170</v>
      </c>
      <c r="T1" t="s">
        <v>157</v>
      </c>
      <c r="U1" t="s">
        <v>144</v>
      </c>
      <c r="V1" t="s">
        <v>145</v>
      </c>
      <c r="W1" t="s">
        <v>158</v>
      </c>
      <c r="X1" t="s">
        <v>171</v>
      </c>
      <c r="Y1" t="s">
        <v>172</v>
      </c>
      <c r="Z1" t="s">
        <v>157</v>
      </c>
      <c r="AA1" t="s">
        <v>144</v>
      </c>
      <c r="AB1" t="s">
        <v>145</v>
      </c>
      <c r="AC1" t="s">
        <v>158</v>
      </c>
      <c r="AD1" t="s">
        <v>173</v>
      </c>
      <c r="AE1" t="s">
        <v>174</v>
      </c>
      <c r="AG1" t="s">
        <v>2</v>
      </c>
      <c r="AH1" t="s">
        <v>3</v>
      </c>
      <c r="AI1" t="s">
        <v>4</v>
      </c>
      <c r="AJ1" t="s">
        <v>5</v>
      </c>
      <c r="AK1" t="s">
        <v>6</v>
      </c>
      <c r="AL1" t="s">
        <v>7</v>
      </c>
      <c r="AM1" t="s">
        <v>8</v>
      </c>
      <c r="AN1" t="s">
        <v>9</v>
      </c>
      <c r="AO1" t="s">
        <v>10</v>
      </c>
      <c r="AP1" t="s">
        <v>11</v>
      </c>
      <c r="AQ1" t="s">
        <v>12</v>
      </c>
      <c r="AR1" t="s">
        <v>13</v>
      </c>
      <c r="AS1" t="s">
        <v>14</v>
      </c>
      <c r="AT1" t="s">
        <v>15</v>
      </c>
      <c r="AU1" t="s">
        <v>16</v>
      </c>
      <c r="AV1" t="s">
        <v>17</v>
      </c>
      <c r="AW1" t="s">
        <v>18</v>
      </c>
      <c r="AX1" t="s">
        <v>19</v>
      </c>
      <c r="AY1" t="s">
        <v>20</v>
      </c>
      <c r="AZ1" t="s">
        <v>21</v>
      </c>
      <c r="BA1" t="s">
        <v>0</v>
      </c>
    </row>
    <row r="2" spans="1:53" ht="12.75">
      <c r="A2" s="2" t="s">
        <v>32</v>
      </c>
      <c r="B2" s="6" t="s">
        <v>25</v>
      </c>
      <c r="C2" s="23">
        <v>1</v>
      </c>
      <c r="D2" s="24"/>
      <c r="E2" s="27"/>
      <c r="F2" s="27"/>
      <c r="H2" t="s">
        <v>161</v>
      </c>
      <c r="I2">
        <v>215</v>
      </c>
      <c r="J2">
        <v>385</v>
      </c>
      <c r="O2">
        <f>$I2+INDEX($AG$2:$BA$2,$AF$2,MATCH($C$1,$AG$1:$BA$1,0))*$M2/4+($C$2-1)*$K2</f>
        <v>215</v>
      </c>
      <c r="P2">
        <f>$J2+INDEX($AG$2:$BA$2,$AF$2,MATCH($C$1,$AG$1:$BA$1,0))*$N2/4+($C$2-1)*$L2</f>
        <v>385</v>
      </c>
      <c r="Q2">
        <f>$I2+INDEX($AG$2:$BA$2,$AF$2,MATCH($C$11,$AG$1:$BA$1,0))*$M2/4+($C$12-1)*$K2</f>
        <v>215</v>
      </c>
      <c r="R2">
        <f>$J2+INDEX($AG$2:$BA$2,$AF$2,MATCH($C$11,$AG$1:$BA$1,0))*$N2/4+($C$12-1)*$L2</f>
        <v>385</v>
      </c>
      <c r="S2" t="s">
        <v>162</v>
      </c>
      <c r="T2">
        <v>20</v>
      </c>
      <c r="X2">
        <f>ROUNDDOWN($T2+INDEX($AG$2:$BA$2,$AF$2,MATCH($C$1,$AG$1:$BA$1,0))*$U2+($C$2-1)*$V2+$W2,1)</f>
        <v>20</v>
      </c>
      <c r="Y2">
        <f>ROUNDDOWN($T2+INDEX($AG$2:$BA$2,$AF$2,MATCH($C$11,$AG$1:$BA$1,0))*$U2+($C$12-1)*$V2+$W2,1)</f>
        <v>20</v>
      </c>
      <c r="AD2">
        <f>ROUNDDOWN($Z2+INDEX($AG$2:$BA$2,$AF$2,MATCH($C$1,$AG$1:$BA$1,0))*$AA2+($C$2-1)*$AB2,1)</f>
        <v>0</v>
      </c>
      <c r="AE2">
        <f>ROUNDDOWN($Z2+INDEX($AG$2:$BA$2,$AF$2,MATCH($C$11,$AG$1:$BA$1,0))*$AA2+($C$12-1)*$AB2,1)</f>
        <v>0</v>
      </c>
      <c r="AF2">
        <v>1</v>
      </c>
      <c r="AG2">
        <v>0</v>
      </c>
      <c r="AH2">
        <f>AG2+4</f>
        <v>4</v>
      </c>
      <c r="AI2">
        <f>AH2+4</f>
        <v>8</v>
      </c>
      <c r="AJ2">
        <f>AI2+4</f>
        <v>12</v>
      </c>
      <c r="AK2">
        <f>AJ2+4</f>
        <v>16</v>
      </c>
      <c r="AL2">
        <f>AK2+4*3</f>
        <v>28</v>
      </c>
      <c r="AM2">
        <f>AL2+8</f>
        <v>36</v>
      </c>
      <c r="AN2">
        <f>AM2+8</f>
        <v>44</v>
      </c>
      <c r="AO2">
        <f>AN2+8</f>
        <v>52</v>
      </c>
      <c r="AP2">
        <f>AO2+8</f>
        <v>60</v>
      </c>
      <c r="AQ2">
        <f>AP2+8*3</f>
        <v>84</v>
      </c>
      <c r="AR2">
        <f>AQ2+12</f>
        <v>96</v>
      </c>
      <c r="AS2">
        <f>AR2+12</f>
        <v>108</v>
      </c>
      <c r="AT2">
        <f>AS2+12</f>
        <v>120</v>
      </c>
      <c r="AU2">
        <f>AT2+12</f>
        <v>132</v>
      </c>
      <c r="AV2">
        <f>AU2+12*3</f>
        <v>168</v>
      </c>
      <c r="AW2">
        <f>AV2+16</f>
        <v>184</v>
      </c>
      <c r="AX2">
        <f>AW2+16</f>
        <v>200</v>
      </c>
      <c r="AY2">
        <f>AX2+16</f>
        <v>216</v>
      </c>
      <c r="AZ2">
        <f>AY2+16</f>
        <v>232</v>
      </c>
      <c r="BA2">
        <f>AZ2+16*3</f>
        <v>280</v>
      </c>
    </row>
    <row r="3" spans="1:32" ht="12.75">
      <c r="A3" s="2" t="s">
        <v>22</v>
      </c>
      <c r="B3" s="3">
        <f>INDEX($O$1:$O$44,MATCH($A$1,$H$1:$H$44,0),1)</f>
        <v>60</v>
      </c>
      <c r="C3" s="25">
        <f>B3/50000</f>
        <v>0.0012</v>
      </c>
      <c r="D3" s="26"/>
      <c r="H3" t="s">
        <v>150</v>
      </c>
      <c r="I3">
        <v>225</v>
      </c>
      <c r="J3">
        <v>375</v>
      </c>
      <c r="K3">
        <v>35</v>
      </c>
      <c r="L3">
        <v>85</v>
      </c>
      <c r="M3">
        <v>140</v>
      </c>
      <c r="N3">
        <v>340</v>
      </c>
      <c r="O3">
        <f>$I3+INDEX($AG$2:$BA$2,$AF$2,MATCH($C$1,$AG$1:$BA$1,0))*$M3/4+($C$2-1)*$K3</f>
        <v>225</v>
      </c>
      <c r="P3">
        <f>$J3+INDEX($AG$2:$BA$2,$AF$2,MATCH($C$1,$AG$1:$BA$1,0))*$N3/4+($C$2-1)*$L3</f>
        <v>375</v>
      </c>
      <c r="Q3">
        <f>$I3+INDEX($AG$2:$BA$2,$AF$2,MATCH($C$11,$AG$1:$BA$1,0))*$M3/4+($C$12-1)*$K3</f>
        <v>225</v>
      </c>
      <c r="R3">
        <f>$J3+INDEX($AG$2:$BA$2,$AF$2,MATCH($C$11,$AG$1:$BA$1,0))*$N3/4+($C$12-1)*$L3</f>
        <v>375</v>
      </c>
      <c r="S3" t="s">
        <v>151</v>
      </c>
      <c r="T3">
        <v>24.3</v>
      </c>
      <c r="U3">
        <f>17/250</f>
        <v>0.068</v>
      </c>
      <c r="V3">
        <f>17/250</f>
        <v>0.068</v>
      </c>
      <c r="X3">
        <f>ROUNDDOWN($T3+INDEX($AG$2:$BA$2,$AF$2,MATCH($C$1,$AG$1:$BA$1,0))*$U3+($C$2-1)*$V3+$W3,1)</f>
        <v>24.3</v>
      </c>
      <c r="Y3">
        <f aca="true" t="shared" si="0" ref="Y3:Y44">ROUNDDOWN($T3+INDEX($AG$2:$BA$2,$AF$2,MATCH($C$11,$AG$1:$BA$1,0))*$U3+($C$12-1)*$V3+$W3,1)</f>
        <v>24.3</v>
      </c>
      <c r="Z3" t="s">
        <v>104</v>
      </c>
      <c r="AA3" t="s">
        <v>104</v>
      </c>
      <c r="AB3" t="s">
        <v>104</v>
      </c>
      <c r="AD3" t="e">
        <f>ROUNDDOWN($Z3+INDEX($AG$2:$BA$2,$AF$2,MATCH($C$1,$AG$1:$BA$1,0))*$AA3+($C$2-1)*$AB3,1)</f>
        <v>#VALUE!</v>
      </c>
      <c r="AE3" t="e">
        <f aca="true" t="shared" si="1" ref="AE3:AE44">ROUNDDOWN($Z3+INDEX($AG$2:$BA$2,$AF$2,MATCH($C$11,$AG$1:$BA$1,0))*$AA3+($C$12-1)*$AB3,1)</f>
        <v>#VALUE!</v>
      </c>
      <c r="AF3">
        <v>2</v>
      </c>
    </row>
    <row r="4" spans="1:32" ht="12.75">
      <c r="A4" s="2" t="s">
        <v>23</v>
      </c>
      <c r="B4" s="3">
        <f>INDEX($P$1:$P$44,MATCH($A$1,$H$1:$H$44,0),1)</f>
        <v>90</v>
      </c>
      <c r="C4" s="25">
        <f>B4/50000</f>
        <v>0.0018</v>
      </c>
      <c r="D4" s="26"/>
      <c r="H4" t="s">
        <v>133</v>
      </c>
      <c r="I4">
        <v>446</v>
      </c>
      <c r="J4">
        <v>154</v>
      </c>
      <c r="K4">
        <v>88</v>
      </c>
      <c r="L4">
        <v>31</v>
      </c>
      <c r="M4">
        <v>352</v>
      </c>
      <c r="N4">
        <v>124</v>
      </c>
      <c r="O4">
        <f>$I4+INDEX($AG$2:$BA$2,$AF$2,MATCH($C$1,$AG$1:$BA$1,0))*$M4/4+($C$2-1)*$K4</f>
        <v>446</v>
      </c>
      <c r="P4">
        <f>$J4+INDEX($AG$2:$BA$2,$AF$2,MATCH($C$1,$AG$1:$BA$1,0))*$N4/4+($C$2-1)*$L4</f>
        <v>154</v>
      </c>
      <c r="Q4">
        <f>$I4+INDEX($AG$2:$BA$2,$AF$2,MATCH($C$11,$AG$1:$BA$1,0))*$M4/4+($C$12-1)*$K4</f>
        <v>446</v>
      </c>
      <c r="R4">
        <f>$J4+INDEX($AG$2:$BA$2,$AF$2,MATCH($C$11,$AG$1:$BA$1,0))*$N4/4+($C$12-1)*$L4</f>
        <v>154</v>
      </c>
      <c r="S4" t="s">
        <v>134</v>
      </c>
      <c r="T4">
        <f>21.8-(8*8/130)</f>
        <v>21.307692307692307</v>
      </c>
      <c r="U4">
        <f>8/130</f>
        <v>0.06153846153846154</v>
      </c>
      <c r="V4">
        <f>8/130</f>
        <v>0.06153846153846154</v>
      </c>
      <c r="X4">
        <f>ROUNDDOWN($T4+INDEX($AG$2:$BA$2,$AF$2,MATCH($C$1,$AG$1:$BA$1,0))*$U4+($C$2-1)*$V4+$W4,1)</f>
        <v>21.3</v>
      </c>
      <c r="Y4">
        <f t="shared" si="0"/>
        <v>21.3</v>
      </c>
      <c r="Z4">
        <f>132.94-(121/250)</f>
        <v>132.456</v>
      </c>
      <c r="AA4">
        <f>121/250</f>
        <v>0.484</v>
      </c>
      <c r="AB4">
        <f>121/250</f>
        <v>0.484</v>
      </c>
      <c r="AD4">
        <f>ROUNDDOWN($Z4+INDEX($AG$2:$BA$2,$AF$2,MATCH($C$1,$AG$1:$BA$1,0))*$AA4+($C$2-1)*$AB4,1)</f>
        <v>132.4</v>
      </c>
      <c r="AE4">
        <f t="shared" si="1"/>
        <v>132.4</v>
      </c>
      <c r="AF4">
        <v>3</v>
      </c>
    </row>
    <row r="5" spans="1:32" ht="13.5" thickBot="1">
      <c r="A5" s="12" t="s">
        <v>98</v>
      </c>
      <c r="B5" s="8" t="str">
        <f>INDEX($S$1:$S$44,MATCH($A$1,$H$1:$H$44,0),0)</f>
        <v>積載増加</v>
      </c>
      <c r="C5" s="19">
        <f>INDEX($X$1:$X$44,MATCH($A$1,$H$1:$H$44,0),1)</f>
        <v>0</v>
      </c>
      <c r="D5" s="22">
        <f>INDEX($AD$1:$AD$44,MATCH($A$1,$H$1:$H$44,0),1)</f>
        <v>0</v>
      </c>
      <c r="E5" s="17"/>
      <c r="H5" t="s">
        <v>122</v>
      </c>
      <c r="I5">
        <v>368</v>
      </c>
      <c r="J5">
        <v>232</v>
      </c>
      <c r="K5">
        <v>74</v>
      </c>
      <c r="L5">
        <v>45</v>
      </c>
      <c r="M5">
        <v>296</v>
      </c>
      <c r="N5">
        <v>180</v>
      </c>
      <c r="O5">
        <f>$I5+INDEX($AG$2:$BA$2,$AF$2,MATCH($C$1,$AG$1:$BA$1,0))*$M5/4+($C$2-1)*$K5</f>
        <v>368</v>
      </c>
      <c r="P5">
        <f>$J5+INDEX($AG$2:$BA$2,$AF$2,MATCH($C$1,$AG$1:$BA$1,0))*$N5/4+($C$2-1)*$L5</f>
        <v>232</v>
      </c>
      <c r="Q5">
        <f>$I5+INDEX($AG$2:$BA$2,$AF$2,MATCH($C$11,$AG$1:$BA$1,0))*$M5/4+($C$12-1)*$K5</f>
        <v>368</v>
      </c>
      <c r="R5">
        <f>$J5+INDEX($AG$2:$BA$2,$AF$2,MATCH($C$11,$AG$1:$BA$1,0))*$N5/4+($C$12-1)*$L5</f>
        <v>232</v>
      </c>
      <c r="S5" t="s">
        <v>123</v>
      </c>
      <c r="T5">
        <v>14.1</v>
      </c>
      <c r="U5">
        <f>2/90</f>
        <v>0.022222222222222223</v>
      </c>
      <c r="V5">
        <f>2/90</f>
        <v>0.022222222222222223</v>
      </c>
      <c r="X5">
        <f>ROUNDDOWN($T5+INDEX($AG$2:$BA$2,$AF$2,MATCH($C$1,$AG$1:$BA$1,0))*$U5+($C$2-1)*$V5+$W5,1)</f>
        <v>14.1</v>
      </c>
      <c r="Y5">
        <f t="shared" si="0"/>
        <v>14.1</v>
      </c>
      <c r="Z5">
        <v>10.1</v>
      </c>
      <c r="AA5">
        <f>2/90</f>
        <v>0.022222222222222223</v>
      </c>
      <c r="AB5">
        <f>2/90</f>
        <v>0.022222222222222223</v>
      </c>
      <c r="AD5">
        <f>ROUNDDOWN($Z5+INDEX($AG$2:$BA$2,$AF$2,MATCH($C$1,$AG$1:$BA$1,0))*$AA5+($C$2-1)*$AB5,1)</f>
        <v>10.1</v>
      </c>
      <c r="AE5">
        <f t="shared" si="1"/>
        <v>10.1</v>
      </c>
      <c r="AF5">
        <v>4</v>
      </c>
    </row>
    <row r="6" spans="4:32" ht="13.5" thickBot="1">
      <c r="D6" s="11"/>
      <c r="H6" t="s">
        <v>143</v>
      </c>
      <c r="I6">
        <v>475</v>
      </c>
      <c r="J6">
        <v>125</v>
      </c>
      <c r="K6">
        <v>95</v>
      </c>
      <c r="L6">
        <v>25</v>
      </c>
      <c r="M6">
        <v>380</v>
      </c>
      <c r="N6">
        <v>100</v>
      </c>
      <c r="O6">
        <f>$I6+INDEX($AG$2:$BA$2,$AF$2,MATCH($C$1,$AG$1:$BA$1,0))*$M6/4+($C$2-1)*$K6</f>
        <v>475</v>
      </c>
      <c r="P6">
        <f>$J6+INDEX($AG$2:$BA$2,$AF$2,MATCH($C$1,$AG$1:$BA$1,0))*$N6/4+($C$2-1)*$L6</f>
        <v>125</v>
      </c>
      <c r="Q6">
        <f>$I6+INDEX($AG$2:$BA$2,$AF$2,MATCH($C$11,$AG$1:$BA$1,0))*$M6/4+($C$12-1)*$K6</f>
        <v>475</v>
      </c>
      <c r="R6">
        <f>$J6+INDEX($AG$2:$BA$2,$AF$2,MATCH($C$11,$AG$1:$BA$1,0))*$N6/4+($C$12-1)*$L6</f>
        <v>125</v>
      </c>
      <c r="S6" t="s">
        <v>74</v>
      </c>
      <c r="T6">
        <v>40.4</v>
      </c>
      <c r="U6">
        <f>0.0755</f>
        <v>0.0755</v>
      </c>
      <c r="V6">
        <f>0.0755</f>
        <v>0.0755</v>
      </c>
      <c r="X6">
        <f>ROUNDDOWN($T6+INDEX($AG$2:$BA$2,$AF$2,MATCH($C$1,$AG$1:$BA$1,0))*$U6+($C$2-1)*$V6+$W6,1)</f>
        <v>40.4</v>
      </c>
      <c r="Y6">
        <f t="shared" si="0"/>
        <v>40.4</v>
      </c>
      <c r="Z6" t="s">
        <v>148</v>
      </c>
      <c r="AA6" t="s">
        <v>148</v>
      </c>
      <c r="AB6" t="s">
        <v>148</v>
      </c>
      <c r="AD6" t="e">
        <f>ROUNDDOWN($Z6+INDEX($AG$2:$BA$2,$AF$2,MATCH($C$1,$AG$1:$BA$1,0))*$AA6+($C$2-1)*$AB6,1)</f>
        <v>#VALUE!</v>
      </c>
      <c r="AE6" t="e">
        <f t="shared" si="1"/>
        <v>#VALUE!</v>
      </c>
      <c r="AF6">
        <v>5</v>
      </c>
    </row>
    <row r="7" spans="1:32" ht="12.75">
      <c r="A7" s="13" t="str">
        <f>A1&amp;"と"&amp;A11&amp;"を比較"</f>
        <v>ティナとティナを比較</v>
      </c>
      <c r="B7" s="1"/>
      <c r="C7" s="30"/>
      <c r="D7" s="31"/>
      <c r="H7" t="s">
        <v>141</v>
      </c>
      <c r="I7">
        <v>448</v>
      </c>
      <c r="J7">
        <v>152</v>
      </c>
      <c r="K7">
        <v>84</v>
      </c>
      <c r="L7">
        <v>36</v>
      </c>
      <c r="M7">
        <v>352</v>
      </c>
      <c r="N7">
        <v>124</v>
      </c>
      <c r="O7">
        <f>$I7+INDEX($AG$2:$BA$2,$AF$2,MATCH($C$1,$AG$1:$BA$1,0))*$M7/4+($C$2-1)*$K7</f>
        <v>448</v>
      </c>
      <c r="P7">
        <f>$J7+INDEX($AG$2:$BA$2,$AF$2,MATCH($C$1,$AG$1:$BA$1,0))*$N7/4+($C$2-1)*$L7</f>
        <v>152</v>
      </c>
      <c r="Q7">
        <f>$I7+INDEX($AG$2:$BA$2,$AF$2,MATCH($C$11,$AG$1:$BA$1,0))*$M7/4+($C$12-1)*$K7</f>
        <v>448</v>
      </c>
      <c r="R7">
        <f>$J7+INDEX($AG$2:$BA$2,$AF$2,MATCH($C$11,$AG$1:$BA$1,0))*$N7/4+($C$12-1)*$L7</f>
        <v>152</v>
      </c>
      <c r="S7" t="s">
        <v>142</v>
      </c>
      <c r="T7">
        <f>48.5-(21/250)</f>
        <v>48.416</v>
      </c>
      <c r="U7">
        <f>246/2800</f>
        <v>0.08785714285714286</v>
      </c>
      <c r="V7">
        <f>21/250</f>
        <v>0.084</v>
      </c>
      <c r="X7">
        <f>ROUNDDOWN($T7+INDEX($AG$2:$BA$2,$AF$2,MATCH($C$1,$AG$1:$BA$1,0))*$U7+($C$2-1)*$V7+$W7,1)</f>
        <v>48.4</v>
      </c>
      <c r="Y7">
        <f t="shared" si="0"/>
        <v>48.4</v>
      </c>
      <c r="Z7" t="s">
        <v>148</v>
      </c>
      <c r="AA7" t="s">
        <v>148</v>
      </c>
      <c r="AB7" t="s">
        <v>148</v>
      </c>
      <c r="AD7" t="e">
        <f>ROUNDDOWN($Z7+INDEX($AG$2:$BA$2,$AF$2,MATCH($C$1,$AG$1:$BA$1,0))*$AA7+($C$2-1)*$AB7,1)</f>
        <v>#VALUE!</v>
      </c>
      <c r="AE7" t="e">
        <f t="shared" si="1"/>
        <v>#VALUE!</v>
      </c>
      <c r="AF7">
        <v>6</v>
      </c>
    </row>
    <row r="8" spans="1:32" ht="12.75">
      <c r="A8" s="2" t="s">
        <v>22</v>
      </c>
      <c r="B8" s="15">
        <f>B3-B13</f>
        <v>0</v>
      </c>
      <c r="C8" s="32">
        <f>C3-C13</f>
        <v>0</v>
      </c>
      <c r="D8" s="33"/>
      <c r="H8" t="s">
        <v>125</v>
      </c>
      <c r="I8">
        <v>480</v>
      </c>
      <c r="J8">
        <v>120</v>
      </c>
      <c r="K8">
        <v>96</v>
      </c>
      <c r="L8">
        <v>24</v>
      </c>
      <c r="M8">
        <v>384</v>
      </c>
      <c r="N8">
        <v>96</v>
      </c>
      <c r="O8">
        <f>$I8+INDEX($AG$2:$BA$2,$AF$2,MATCH($C$1,$AG$1:$BA$1,0))*$M8/4+($C$2-1)*$K8</f>
        <v>480</v>
      </c>
      <c r="P8">
        <f>$J8+INDEX($AG$2:$BA$2,$AF$2,MATCH($C$1,$AG$1:$BA$1,0))*$N8/4+($C$2-1)*$L8</f>
        <v>120</v>
      </c>
      <c r="Q8">
        <f>$I8+INDEX($AG$2:$BA$2,$AF$2,MATCH($C$11,$AG$1:$BA$1,0))*$M8/4+($C$12-1)*$K8</f>
        <v>480</v>
      </c>
      <c r="R8">
        <f>$J8+INDEX($AG$2:$BA$2,$AF$2,MATCH($C$11,$AG$1:$BA$1,0))*$N8/4+($C$12-1)*$L8</f>
        <v>120</v>
      </c>
      <c r="S8" t="s">
        <v>126</v>
      </c>
      <c r="T8">
        <f>25.5-(21/250)</f>
        <v>25.416</v>
      </c>
      <c r="U8">
        <f>1/13</f>
        <v>0.07692307692307693</v>
      </c>
      <c r="V8">
        <v>0.0773</v>
      </c>
      <c r="X8">
        <f>ROUNDDOWN($T8+INDEX($AG$2:$BA$2,$AF$2,MATCH($C$1,$AG$1:$BA$1,0))*$U8+($C$2-1)*$V8+$W8,1)</f>
        <v>25.4</v>
      </c>
      <c r="Y8">
        <f t="shared" si="0"/>
        <v>25.4</v>
      </c>
      <c r="Z8" t="s">
        <v>148</v>
      </c>
      <c r="AA8" t="s">
        <v>148</v>
      </c>
      <c r="AB8" t="s">
        <v>148</v>
      </c>
      <c r="AD8" t="e">
        <f>ROUNDDOWN($Z8+INDEX($AG$2:$BA$2,$AF$2,MATCH($C$1,$AG$1:$BA$1,0))*$AA8+($C$2-1)*$AB8,1)</f>
        <v>#VALUE!</v>
      </c>
      <c r="AE8" t="e">
        <f t="shared" si="1"/>
        <v>#VALUE!</v>
      </c>
      <c r="AF8">
        <v>7</v>
      </c>
    </row>
    <row r="9" spans="1:32" ht="13.5" thickBot="1">
      <c r="A9" s="14" t="s">
        <v>23</v>
      </c>
      <c r="B9" s="16">
        <f>B4-B14</f>
        <v>0</v>
      </c>
      <c r="C9" s="34">
        <f>C4-C14</f>
        <v>0</v>
      </c>
      <c r="D9" s="35"/>
      <c r="H9" t="s">
        <v>27</v>
      </c>
      <c r="I9">
        <v>468</v>
      </c>
      <c r="J9">
        <v>132</v>
      </c>
      <c r="K9">
        <v>91</v>
      </c>
      <c r="L9">
        <v>28</v>
      </c>
      <c r="M9">
        <v>379</v>
      </c>
      <c r="N9">
        <v>101</v>
      </c>
      <c r="O9">
        <f>$I9+INDEX($AG$2:$BA$2,$AF$2,MATCH($C$1,$AG$1:$BA$1,0))*$M9/4+($C$2-1)*$K9</f>
        <v>468</v>
      </c>
      <c r="P9">
        <f>$J9+INDEX($AG$2:$BA$2,$AF$2,MATCH($C$1,$AG$1:$BA$1,0))*$N9/4+($C$2-1)*$L9</f>
        <v>132</v>
      </c>
      <c r="Q9">
        <f>$I9+INDEX($AG$2:$BA$2,$AF$2,MATCH($C$11,$AG$1:$BA$1,0))*$M9/4+($C$12-1)*$K9</f>
        <v>468</v>
      </c>
      <c r="R9">
        <f>$J9+INDEX($AG$2:$BA$2,$AF$2,MATCH($C$11,$AG$1:$BA$1,0))*$N9/4+($C$12-1)*$L9</f>
        <v>132</v>
      </c>
      <c r="S9" t="s">
        <v>78</v>
      </c>
      <c r="T9">
        <f>25.4-(12/181)</f>
        <v>25.333701657458562</v>
      </c>
      <c r="U9">
        <f>12/181</f>
        <v>0.06629834254143646</v>
      </c>
      <c r="V9">
        <f>12/181</f>
        <v>0.06629834254143646</v>
      </c>
      <c r="X9">
        <f>ROUNDDOWN($T9+INDEX($AG$2:$BA$2,$AF$2,MATCH($C$1,$AG$1:$BA$1,0))*$U9+($C$2-1)*$V9+$W9,1)</f>
        <v>25.3</v>
      </c>
      <c r="Y9">
        <f t="shared" si="0"/>
        <v>25.3</v>
      </c>
      <c r="Z9" t="s">
        <v>148</v>
      </c>
      <c r="AA9" t="s">
        <v>148</v>
      </c>
      <c r="AB9" t="s">
        <v>148</v>
      </c>
      <c r="AD9" t="e">
        <f>ROUNDDOWN($Z9+INDEX($AG$2:$BA$2,$AF$2,MATCH($C$1,$AG$1:$BA$1,0))*$AA9+($C$2-1)*$AB9,1)</f>
        <v>#VALUE!</v>
      </c>
      <c r="AE9" t="e">
        <f t="shared" si="1"/>
        <v>#VALUE!</v>
      </c>
      <c r="AF9">
        <v>8</v>
      </c>
    </row>
    <row r="10" spans="8:32" ht="13.5" thickBot="1">
      <c r="H10" t="s">
        <v>42</v>
      </c>
      <c r="I10">
        <v>452</v>
      </c>
      <c r="J10">
        <v>148</v>
      </c>
      <c r="K10">
        <v>91</v>
      </c>
      <c r="L10">
        <v>28</v>
      </c>
      <c r="M10">
        <v>364</v>
      </c>
      <c r="N10">
        <v>112</v>
      </c>
      <c r="O10">
        <f>$I10+INDEX($AG$2:$BA$2,$AF$2,MATCH($C$1,$AG$1:$BA$1,0))*$M10/4+($C$2-1)*$K10</f>
        <v>452</v>
      </c>
      <c r="P10">
        <f>$J10+INDEX($AG$2:$BA$2,$AF$2,MATCH($C$1,$AG$1:$BA$1,0))*$N10/4+($C$2-1)*$L10</f>
        <v>148</v>
      </c>
      <c r="Q10">
        <f>$I10+INDEX($AG$2:$BA$2,$AF$2,MATCH($C$11,$AG$1:$BA$1,0))*$M10/4+($C$12-1)*$K10</f>
        <v>452</v>
      </c>
      <c r="R10">
        <f>$J10+INDEX($AG$2:$BA$2,$AF$2,MATCH($C$11,$AG$1:$BA$1,0))*$N10/4+($C$12-1)*$L10</f>
        <v>148</v>
      </c>
      <c r="S10" t="s">
        <v>69</v>
      </c>
      <c r="T10">
        <v>70.78</v>
      </c>
      <c r="U10">
        <f>617/3990</f>
        <v>0.15463659147869674</v>
      </c>
      <c r="V10">
        <f>617/3990</f>
        <v>0.15463659147869674</v>
      </c>
      <c r="X10">
        <f>ROUNDDOWN($T10+INDEX($AG$2:$BA$2,$AF$2,MATCH($C$1,$AG$1:$BA$1,0))*$U10+($C$2-1)*$V10+$W10,1)</f>
        <v>70.7</v>
      </c>
      <c r="Y10">
        <f t="shared" si="0"/>
        <v>70.7</v>
      </c>
      <c r="Z10" t="s">
        <v>148</v>
      </c>
      <c r="AA10" t="s">
        <v>148</v>
      </c>
      <c r="AB10" t="s">
        <v>148</v>
      </c>
      <c r="AD10" t="e">
        <f>ROUNDDOWN($Z10+INDEX($AG$2:$BA$2,$AF$2,MATCH($C$1,$AG$1:$BA$1,0))*$AA10+($C$2-1)*$AB10,1)</f>
        <v>#VALUE!</v>
      </c>
      <c r="AE10" t="e">
        <f t="shared" si="1"/>
        <v>#VALUE!</v>
      </c>
      <c r="AF10">
        <v>9</v>
      </c>
    </row>
    <row r="11" spans="1:32" ht="12.75">
      <c r="A11" s="7" t="s">
        <v>166</v>
      </c>
      <c r="B11" s="5" t="s">
        <v>24</v>
      </c>
      <c r="C11" s="36" t="s">
        <v>2</v>
      </c>
      <c r="D11" s="37"/>
      <c r="E11" s="27" t="s">
        <v>1</v>
      </c>
      <c r="F11" s="27"/>
      <c r="H11" t="s">
        <v>43</v>
      </c>
      <c r="I11">
        <v>243</v>
      </c>
      <c r="J11">
        <v>357</v>
      </c>
      <c r="K11">
        <v>48</v>
      </c>
      <c r="L11">
        <v>71</v>
      </c>
      <c r="M11">
        <v>194</v>
      </c>
      <c r="N11">
        <v>285</v>
      </c>
      <c r="O11">
        <f>$I11+INDEX($AG$2:$BA$2,$AF$2,MATCH($C$1,$AG$1:$BA$1,0))*$M11/4+($C$2-1)*$K11</f>
        <v>243</v>
      </c>
      <c r="P11">
        <f>$J11+INDEX($AG$2:$BA$2,$AF$2,MATCH($C$1,$AG$1:$BA$1,0))*$N11/4+($C$2-1)*$L11</f>
        <v>357</v>
      </c>
      <c r="Q11">
        <f>$I11+INDEX($AG$2:$BA$2,$AF$2,MATCH($C$11,$AG$1:$BA$1,0))*$M11/4+($C$12-1)*$K11</f>
        <v>243</v>
      </c>
      <c r="R11">
        <f>$J11+INDEX($AG$2:$BA$2,$AF$2,MATCH($C$11,$AG$1:$BA$1,0))*$N11/4+($C$12-1)*$L11</f>
        <v>357</v>
      </c>
      <c r="S11" t="s">
        <v>70</v>
      </c>
      <c r="T11">
        <v>20.2</v>
      </c>
      <c r="U11">
        <f>1/20</f>
        <v>0.05</v>
      </c>
      <c r="V11">
        <f>1/20</f>
        <v>0.05</v>
      </c>
      <c r="X11">
        <f>ROUNDDOWN($T11+INDEX($AG$2:$BA$2,$AF$2,MATCH($C$1,$AG$1:$BA$1,0))*$U11+($C$2-1)*$V11+$W11,1)</f>
        <v>20.2</v>
      </c>
      <c r="Y11">
        <f t="shared" si="0"/>
        <v>20.2</v>
      </c>
      <c r="Z11" t="s">
        <v>148</v>
      </c>
      <c r="AA11" t="s">
        <v>148</v>
      </c>
      <c r="AB11" t="s">
        <v>148</v>
      </c>
      <c r="AD11" t="e">
        <f>ROUNDDOWN($Z11+INDEX($AG$2:$BA$2,$AF$2,MATCH($C$1,$AG$1:$BA$1,0))*$AA11+($C$2-1)*$AB11,1)</f>
        <v>#VALUE!</v>
      </c>
      <c r="AE11" t="e">
        <f t="shared" si="1"/>
        <v>#VALUE!</v>
      </c>
      <c r="AF11">
        <v>10</v>
      </c>
    </row>
    <row r="12" spans="1:32" ht="12.75">
      <c r="A12" s="2" t="s">
        <v>32</v>
      </c>
      <c r="B12" s="6" t="s">
        <v>25</v>
      </c>
      <c r="C12" s="23">
        <v>1</v>
      </c>
      <c r="D12" s="24"/>
      <c r="E12" s="27"/>
      <c r="F12" s="27"/>
      <c r="H12" t="s">
        <v>63</v>
      </c>
      <c r="I12">
        <v>228</v>
      </c>
      <c r="J12">
        <v>372</v>
      </c>
      <c r="K12">
        <v>45</v>
      </c>
      <c r="L12">
        <v>74</v>
      </c>
      <c r="M12">
        <v>180</v>
      </c>
      <c r="N12">
        <v>296</v>
      </c>
      <c r="O12">
        <f>$I12+INDEX($AG$2:$BA$2,$AF$2,MATCH($C$1,$AG$1:$BA$1,0))*$M12/4+($C$2-1)*$K12</f>
        <v>228</v>
      </c>
      <c r="P12">
        <f>$J12+INDEX($AG$2:$BA$2,$AF$2,MATCH($C$1,$AG$1:$BA$1,0))*$N12/4+($C$2-1)*$L12</f>
        <v>372</v>
      </c>
      <c r="Q12">
        <f>$I12+INDEX($AG$2:$BA$2,$AF$2,MATCH($C$11,$AG$1:$BA$1,0))*$M12/4+($C$12-1)*$K12</f>
        <v>228</v>
      </c>
      <c r="R12">
        <f>$J12+INDEX($AG$2:$BA$2,$AF$2,MATCH($C$11,$AG$1:$BA$1,0))*$N12/4+($C$12-1)*$L12</f>
        <v>372</v>
      </c>
      <c r="S12" t="s">
        <v>96</v>
      </c>
      <c r="T12" t="s">
        <v>160</v>
      </c>
      <c r="U12" t="s">
        <v>160</v>
      </c>
      <c r="V12" t="s">
        <v>160</v>
      </c>
      <c r="X12" t="e">
        <f>ROUNDDOWN($T12+INDEX($AG$2:$BA$2,$AF$2,MATCH($C$1,$AG$1:$BA$1,0))*$U12+($C$2-1)*$V12+$W12,1)</f>
        <v>#VALUE!</v>
      </c>
      <c r="Y12" t="e">
        <f t="shared" si="0"/>
        <v>#VALUE!</v>
      </c>
      <c r="Z12" t="s">
        <v>104</v>
      </c>
      <c r="AA12" t="s">
        <v>104</v>
      </c>
      <c r="AB12" t="s">
        <v>104</v>
      </c>
      <c r="AD12" t="e">
        <f>ROUNDDOWN($Z12+INDEX($AG$2:$BA$2,$AF$2,MATCH($C$1,$AG$1:$BA$1,0))*$AA12+($C$2-1)*$AB12,1)</f>
        <v>#VALUE!</v>
      </c>
      <c r="AE12" t="e">
        <f t="shared" si="1"/>
        <v>#VALUE!</v>
      </c>
      <c r="AF12">
        <v>11</v>
      </c>
    </row>
    <row r="13" spans="1:32" ht="12.75">
      <c r="A13" s="2" t="s">
        <v>22</v>
      </c>
      <c r="B13" s="3">
        <f>INDEX($Q$1:$Q$44,MATCH($A$11,$H$1:$H$44,0),1)</f>
        <v>60</v>
      </c>
      <c r="C13" s="25">
        <f>B13/50000</f>
        <v>0.0012</v>
      </c>
      <c r="D13" s="26"/>
      <c r="H13" t="s">
        <v>62</v>
      </c>
      <c r="I13">
        <v>372</v>
      </c>
      <c r="J13">
        <v>228</v>
      </c>
      <c r="K13">
        <v>74</v>
      </c>
      <c r="L13">
        <v>45</v>
      </c>
      <c r="M13">
        <v>296</v>
      </c>
      <c r="N13">
        <v>180</v>
      </c>
      <c r="O13">
        <f>$I13+INDEX($AG$2:$BA$2,$AF$2,MATCH($C$1,$AG$1:$BA$1,0))*$M13/4+($C$2-1)*$K13</f>
        <v>372</v>
      </c>
      <c r="P13">
        <f>$J13+INDEX($AG$2:$BA$2,$AF$2,MATCH($C$1,$AG$1:$BA$1,0))*$N13/4+($C$2-1)*$L13</f>
        <v>228</v>
      </c>
      <c r="Q13">
        <f>$I13+INDEX($AG$2:$BA$2,$AF$2,MATCH($C$11,$AG$1:$BA$1,0))*$M13/4+($C$12-1)*$K13</f>
        <v>372</v>
      </c>
      <c r="R13">
        <f>$J13+INDEX($AG$2:$BA$2,$AF$2,MATCH($C$11,$AG$1:$BA$1,0))*$N13/4+($C$12-1)*$L13</f>
        <v>228</v>
      </c>
      <c r="S13" t="s">
        <v>95</v>
      </c>
      <c r="X13">
        <f>ROUNDDOWN($T13+INDEX($AG$2:$BA$2,$AF$2,MATCH($C$1,$AG$1:$BA$1,0))*$U13+($C$2-1)*$V13+$W13,1)</f>
        <v>0</v>
      </c>
      <c r="Y13">
        <f t="shared" si="0"/>
        <v>0</v>
      </c>
      <c r="AD13">
        <f>ROUNDDOWN($Z13+INDEX($AG$2:$BA$2,$AF$2,MATCH($C$1,$AG$1:$BA$1,0))*$AA13+($C$2-1)*$AB13,1)</f>
        <v>0</v>
      </c>
      <c r="AE13">
        <f t="shared" si="1"/>
        <v>0</v>
      </c>
      <c r="AF13">
        <v>12</v>
      </c>
    </row>
    <row r="14" spans="1:32" ht="12.75">
      <c r="A14" s="2" t="s">
        <v>23</v>
      </c>
      <c r="B14" s="3">
        <f>INDEX($R$1:$R$44,MATCH($A$11,$H$1:$H$44,0),1)</f>
        <v>90</v>
      </c>
      <c r="C14" s="25">
        <f>B14/50000</f>
        <v>0.0018</v>
      </c>
      <c r="D14" s="26"/>
      <c r="H14" t="s">
        <v>61</v>
      </c>
      <c r="I14">
        <v>311</v>
      </c>
      <c r="J14">
        <v>289</v>
      </c>
      <c r="K14">
        <v>62</v>
      </c>
      <c r="L14">
        <v>57</v>
      </c>
      <c r="M14">
        <v>248</v>
      </c>
      <c r="N14">
        <v>228</v>
      </c>
      <c r="O14">
        <f>$I14+INDEX($AG$2:$BA$2,$AF$2,MATCH($C$1,$AG$1:$BA$1,0))*$M14/4+($C$2-1)*$K14</f>
        <v>311</v>
      </c>
      <c r="P14">
        <f>$J14+INDEX($AG$2:$BA$2,$AF$2,MATCH($C$1,$AG$1:$BA$1,0))*$N14/4+($C$2-1)*$L14</f>
        <v>289</v>
      </c>
      <c r="Q14">
        <f>$I14+INDEX($AG$2:$BA$2,$AF$2,MATCH($C$11,$AG$1:$BA$1,0))*$M14/4+($C$12-1)*$K14</f>
        <v>311</v>
      </c>
      <c r="R14">
        <f>$J14+INDEX($AG$2:$BA$2,$AF$2,MATCH($C$11,$AG$1:$BA$1,0))*$N14/4+($C$12-1)*$L14</f>
        <v>289</v>
      </c>
      <c r="S14" t="s">
        <v>94</v>
      </c>
      <c r="X14">
        <f>ROUNDDOWN($T14+INDEX($AG$2:$BA$2,$AF$2,MATCH($C$1,$AG$1:$BA$1,0))*$U14+($C$2-1)*$V14+$W14,1)</f>
        <v>0</v>
      </c>
      <c r="Y14">
        <f t="shared" si="0"/>
        <v>0</v>
      </c>
      <c r="AD14">
        <f>ROUNDDOWN($Z14+INDEX($AG$2:$BA$2,$AF$2,MATCH($C$1,$AG$1:$BA$1,0))*$AA14+($C$2-1)*$AB14,1)</f>
        <v>0</v>
      </c>
      <c r="AE14">
        <f t="shared" si="1"/>
        <v>0</v>
      </c>
      <c r="AF14">
        <v>13</v>
      </c>
    </row>
    <row r="15" spans="1:32" ht="13.5" thickBot="1">
      <c r="A15" s="12" t="s">
        <v>98</v>
      </c>
      <c r="B15" s="8" t="str">
        <f>INDEX($S$1:$S$44,MATCH($A$11,$H$1:$H$44,0),0)</f>
        <v>積載増加</v>
      </c>
      <c r="C15" s="19">
        <f>INDEX($X$1:$X$44,MATCH($A$11,$H$1:$H$44,0),1)</f>
        <v>0</v>
      </c>
      <c r="D15" s="22">
        <f>INDEX($AD$1:$AD$44,MATCH($A$11,$H$1:$H$44,0),1)</f>
        <v>0</v>
      </c>
      <c r="H15" t="s">
        <v>40</v>
      </c>
      <c r="I15">
        <v>460</v>
      </c>
      <c r="J15">
        <v>140</v>
      </c>
      <c r="K15">
        <v>92</v>
      </c>
      <c r="L15">
        <v>28</v>
      </c>
      <c r="M15">
        <v>368</v>
      </c>
      <c r="N15">
        <v>112</v>
      </c>
      <c r="O15">
        <f>$I15+INDEX($AG$2:$BA$2,$AF$2,MATCH($C$1,$AG$1:$BA$1,0))*$M15/4+($C$2-1)*$K15</f>
        <v>460</v>
      </c>
      <c r="P15">
        <f>$J15+INDEX($AG$2:$BA$2,$AF$2,MATCH($C$1,$AG$1:$BA$1,0))*$N15/4+($C$2-1)*$L15</f>
        <v>140</v>
      </c>
      <c r="Q15">
        <f>$I15+INDEX($AG$2:$BA$2,$AF$2,MATCH($C$11,$AG$1:$BA$1,0))*$M15/4+($C$12-1)*$K15</f>
        <v>460</v>
      </c>
      <c r="R15">
        <f>$J15+INDEX($AG$2:$BA$2,$AF$2,MATCH($C$11,$AG$1:$BA$1,0))*$N15/4+($C$12-1)*$L15</f>
        <v>140</v>
      </c>
      <c r="S15" t="s">
        <v>88</v>
      </c>
      <c r="T15">
        <f>21.1-(501/1600)</f>
        <v>20.786875000000002</v>
      </c>
      <c r="U15">
        <f>61/390</f>
        <v>0.1564102564102564</v>
      </c>
      <c r="V15">
        <f>61/390</f>
        <v>0.1564102564102564</v>
      </c>
      <c r="X15">
        <f>ROUNDDOWN($T15+INDEX($AG$2:$BA$2,$AF$2,MATCH($C$1,$AG$1:$BA$1,0))*$U15+($C$2-1)*$V15+$W15,1)</f>
        <v>20.7</v>
      </c>
      <c r="Y15">
        <f t="shared" si="0"/>
        <v>20.7</v>
      </c>
      <c r="Z15" t="s">
        <v>148</v>
      </c>
      <c r="AA15" t="s">
        <v>148</v>
      </c>
      <c r="AB15" t="s">
        <v>148</v>
      </c>
      <c r="AD15" t="e">
        <f>ROUNDDOWN($Z15+INDEX($AG$2:$BA$2,$AF$2,MATCH($C$1,$AG$1:$BA$1,0))*$AA15+($C$2-1)*$AB15,1)</f>
        <v>#VALUE!</v>
      </c>
      <c r="AE15" t="e">
        <f t="shared" si="1"/>
        <v>#VALUE!</v>
      </c>
      <c r="AF15">
        <v>14</v>
      </c>
    </row>
    <row r="16" spans="8:32" ht="12.75">
      <c r="H16" t="s">
        <v>65</v>
      </c>
      <c r="I16">
        <v>175</v>
      </c>
      <c r="J16">
        <v>425</v>
      </c>
      <c r="K16">
        <v>35</v>
      </c>
      <c r="L16">
        <v>85</v>
      </c>
      <c r="M16">
        <v>140</v>
      </c>
      <c r="N16">
        <v>340</v>
      </c>
      <c r="O16">
        <f>$I16+INDEX($AG$2:$BA$2,$AF$2,MATCH($C$1,$AG$1:$BA$1,0))*$M16/4+($C$2-1)*$K16</f>
        <v>175</v>
      </c>
      <c r="P16">
        <f>$J16+INDEX($AG$2:$BA$2,$AF$2,MATCH($C$1,$AG$1:$BA$1,0))*$N16/4+($C$2-1)*$L16</f>
        <v>425</v>
      </c>
      <c r="Q16">
        <f>$I16+INDEX($AG$2:$BA$2,$AF$2,MATCH($C$11,$AG$1:$BA$1,0))*$M16/4+($C$12-1)*$K16</f>
        <v>175</v>
      </c>
      <c r="R16">
        <f>$J16+INDEX($AG$2:$BA$2,$AF$2,MATCH($C$11,$AG$1:$BA$1,0))*$N16/4+($C$12-1)*$L16</f>
        <v>425</v>
      </c>
      <c r="S16" t="s">
        <v>72</v>
      </c>
      <c r="T16">
        <f>21.1-(1/60)</f>
        <v>21.083333333333336</v>
      </c>
      <c r="U16">
        <f>1/60</f>
        <v>0.016666666666666666</v>
      </c>
      <c r="V16">
        <f>1/60</f>
        <v>0.016666666666666666</v>
      </c>
      <c r="X16">
        <f>ROUNDDOWN($T16+INDEX($AG$2:$BA$2,$AF$2,MATCH($C$1,$AG$1:$BA$1,0))*$U16+($C$2-1)*$V16+$W16,1)</f>
        <v>21</v>
      </c>
      <c r="Y16">
        <f t="shared" si="0"/>
        <v>21</v>
      </c>
      <c r="Z16">
        <f>8.05-(3*2/350)</f>
        <v>8.032857142857143</v>
      </c>
      <c r="AA16">
        <f>3/350</f>
        <v>0.008571428571428572</v>
      </c>
      <c r="AB16">
        <f>3/350</f>
        <v>0.008571428571428572</v>
      </c>
      <c r="AD16">
        <f>ROUNDDOWN($Z16+INDEX($AG$2:$BA$2,$AF$2,MATCH($C$1,$AG$1:$BA$1,0))*$AA16+($C$2-1)*$AB16,1)</f>
        <v>8</v>
      </c>
      <c r="AE16">
        <f t="shared" si="1"/>
        <v>8</v>
      </c>
      <c r="AF16">
        <v>15</v>
      </c>
    </row>
    <row r="17" spans="8:32" ht="12.75">
      <c r="H17" t="s">
        <v>44</v>
      </c>
      <c r="I17">
        <v>319</v>
      </c>
      <c r="J17">
        <v>281</v>
      </c>
      <c r="K17" t="s">
        <v>113</v>
      </c>
      <c r="L17" t="s">
        <v>113</v>
      </c>
      <c r="M17" t="s">
        <v>104</v>
      </c>
      <c r="N17" t="s">
        <v>104</v>
      </c>
      <c r="O17" t="e">
        <f>$I17+INDEX($AG$2:$BA$2,$AF$2,MATCH($C$1,$AG$1:$BA$1,0))*$M17/4+($C$2-1)*$K17</f>
        <v>#VALUE!</v>
      </c>
      <c r="P17" t="e">
        <f>$J17+INDEX($AG$2:$BA$2,$AF$2,MATCH($C$1,$AG$1:$BA$1,0))*$N17/4+($C$2-1)*$L17</f>
        <v>#VALUE!</v>
      </c>
      <c r="Q17" t="e">
        <f>$I17+INDEX($AG$2:$BA$2,$AF$2,MATCH($C$11,$AG$1:$BA$1,0))*$M17/4+($C$12-1)*$K17</f>
        <v>#VALUE!</v>
      </c>
      <c r="R17" t="e">
        <f>$J17+INDEX($AG$2:$BA$2,$AF$2,MATCH($C$11,$AG$1:$BA$1,0))*$N17/4+($C$12-1)*$L17</f>
        <v>#VALUE!</v>
      </c>
      <c r="S17" t="s">
        <v>89</v>
      </c>
      <c r="X17">
        <f>ROUNDDOWN($T17+INDEX($AG$2:$BA$2,$AF$2,MATCH($C$1,$AG$1:$BA$1,0))*$U17+($C$2-1)*$V17+$W17,1)</f>
        <v>0</v>
      </c>
      <c r="Y17">
        <f t="shared" si="0"/>
        <v>0</v>
      </c>
      <c r="AD17">
        <f>ROUNDDOWN($Z17+INDEX($AG$2:$BA$2,$AF$2,MATCH($C$1,$AG$1:$BA$1,0))*$AA17+($C$2-1)*$AB17,1)</f>
        <v>0</v>
      </c>
      <c r="AE17">
        <f t="shared" si="1"/>
        <v>0</v>
      </c>
      <c r="AF17">
        <v>16</v>
      </c>
    </row>
    <row r="18" spans="1:32" ht="12.75">
      <c r="A18" s="20"/>
      <c r="B18" s="20"/>
      <c r="C18" s="20"/>
      <c r="D18" s="20"/>
      <c r="H18" s="4" t="s">
        <v>29</v>
      </c>
      <c r="I18">
        <v>190</v>
      </c>
      <c r="J18">
        <v>410</v>
      </c>
      <c r="K18">
        <v>38</v>
      </c>
      <c r="L18">
        <v>82</v>
      </c>
      <c r="M18">
        <v>152</v>
      </c>
      <c r="N18">
        <v>328</v>
      </c>
      <c r="O18">
        <f>$I18+INDEX($AG$2:$BA$2,$AF$2,MATCH($C$1,$AG$1:$BA$1,0))*$M18/4+($C$2-1)*$K18</f>
        <v>190</v>
      </c>
      <c r="P18">
        <f>$J18+INDEX($AG$2:$BA$2,$AF$2,MATCH($C$1,$AG$1:$BA$1,0))*$N18/4+($C$2-1)*$L18</f>
        <v>410</v>
      </c>
      <c r="Q18">
        <f>$I18+INDEX($AG$2:$BA$2,$AF$2,MATCH($C$11,$AG$1:$BA$1,0))*$M18/4+($C$12-1)*$K18</f>
        <v>190</v>
      </c>
      <c r="R18">
        <f>$J18+INDEX($AG$2:$BA$2,$AF$2,MATCH($C$11,$AG$1:$BA$1,0))*$N18/4+($C$12-1)*$L18</f>
        <v>410</v>
      </c>
      <c r="S18" t="s">
        <v>71</v>
      </c>
      <c r="X18">
        <f>ROUNDDOWN($T18+INDEX($AG$2:$BA$2,$AF$2,MATCH($C$1,$AG$1:$BA$1,0))*$U18+($C$2-1)*$V18+$W18,1)</f>
        <v>0</v>
      </c>
      <c r="Y18">
        <f t="shared" si="0"/>
        <v>0</v>
      </c>
      <c r="Z18" t="s">
        <v>148</v>
      </c>
      <c r="AA18" t="s">
        <v>148</v>
      </c>
      <c r="AB18" t="s">
        <v>148</v>
      </c>
      <c r="AD18" t="e">
        <f>ROUNDDOWN($Z18+INDEX($AG$2:$BA$2,$AF$2,MATCH($C$1,$AG$1:$BA$1,0))*$AA18+($C$2-1)*$AB18,1)</f>
        <v>#VALUE!</v>
      </c>
      <c r="AE18" t="e">
        <f t="shared" si="1"/>
        <v>#VALUE!</v>
      </c>
      <c r="AF18">
        <v>17</v>
      </c>
    </row>
    <row r="19" spans="1:32" ht="12.75">
      <c r="A19" s="20"/>
      <c r="B19" s="21"/>
      <c r="C19" s="20"/>
      <c r="D19" s="20"/>
      <c r="H19" s="4" t="s">
        <v>28</v>
      </c>
      <c r="I19">
        <v>425</v>
      </c>
      <c r="J19">
        <v>175</v>
      </c>
      <c r="K19">
        <v>85</v>
      </c>
      <c r="L19">
        <v>35</v>
      </c>
      <c r="M19">
        <v>85</v>
      </c>
      <c r="N19">
        <v>35</v>
      </c>
      <c r="O19">
        <f>$I19+INDEX($AG$2:$BA$2,$AF$2,MATCH($C$1,$AG$1:$BA$1,0))*$M19/4+($C$2-1)*$K19</f>
        <v>425</v>
      </c>
      <c r="P19">
        <f>$J19+INDEX($AG$2:$BA$2,$AF$2,MATCH($C$1,$AG$1:$BA$1,0))*$N19/4+($C$2-1)*$L19</f>
        <v>175</v>
      </c>
      <c r="Q19">
        <f>$I19+INDEX($AG$2:$BA$2,$AF$2,MATCH($C$11,$AG$1:$BA$1,0))*$M19/4+($C$12-1)*$K19</f>
        <v>425</v>
      </c>
      <c r="R19">
        <f>$J19+INDEX($AG$2:$BA$2,$AF$2,MATCH($C$11,$AG$1:$BA$1,0))*$N19/4+($C$12-1)*$L19</f>
        <v>175</v>
      </c>
      <c r="S19" t="s">
        <v>76</v>
      </c>
      <c r="T19">
        <v>70.8</v>
      </c>
      <c r="U19">
        <f>11/72</f>
        <v>0.1527777777777778</v>
      </c>
      <c r="V19">
        <f>11/72</f>
        <v>0.1527777777777778</v>
      </c>
      <c r="X19">
        <f>ROUNDDOWN($T19+INDEX($AG$2:$BA$2,$AF$2,MATCH($C$1,$AG$1:$BA$1,0))*$U19+($C$2-1)*$V19+$W19,1)</f>
        <v>70.8</v>
      </c>
      <c r="Y19">
        <f t="shared" si="0"/>
        <v>70.8</v>
      </c>
      <c r="Z19" t="s">
        <v>148</v>
      </c>
      <c r="AA19" t="s">
        <v>104</v>
      </c>
      <c r="AB19" t="s">
        <v>104</v>
      </c>
      <c r="AD19" t="e">
        <f>ROUNDDOWN($Z19+INDEX($AG$2:$BA$2,$AF$2,MATCH($C$1,$AG$1:$BA$1,0))*$AA19+($C$2-1)*$AB19,1)</f>
        <v>#VALUE!</v>
      </c>
      <c r="AE19" t="e">
        <f t="shared" si="1"/>
        <v>#VALUE!</v>
      </c>
      <c r="AF19">
        <v>18</v>
      </c>
    </row>
    <row r="20" spans="1:32" ht="12.75">
      <c r="A20" s="20"/>
      <c r="B20" s="20"/>
      <c r="C20" s="20"/>
      <c r="D20" s="20"/>
      <c r="H20" t="s">
        <v>31</v>
      </c>
      <c r="I20">
        <v>225</v>
      </c>
      <c r="J20">
        <v>375</v>
      </c>
      <c r="K20">
        <v>45</v>
      </c>
      <c r="L20">
        <v>75</v>
      </c>
      <c r="M20">
        <v>180</v>
      </c>
      <c r="N20">
        <v>300</v>
      </c>
      <c r="O20">
        <f>$I20+INDEX($AG$2:$BA$2,$AF$2,MATCH($C$1,$AG$1:$BA$1,0))*$M20/4+($C$2-1)*$K20</f>
        <v>225</v>
      </c>
      <c r="P20">
        <f>$J20+INDEX($AG$2:$BA$2,$AF$2,MATCH($C$1,$AG$1:$BA$1,0))*$N20/4+($C$2-1)*$L20</f>
        <v>375</v>
      </c>
      <c r="Q20">
        <f>$I20+INDEX($AG$2:$BA$2,$AF$2,MATCH($C$11,$AG$1:$BA$1,0))*$M20/4+($C$12-1)*$K20</f>
        <v>225</v>
      </c>
      <c r="R20">
        <f>$J20+INDEX($AG$2:$BA$2,$AF$2,MATCH($C$11,$AG$1:$BA$1,0))*$N20/4+($C$12-1)*$L20</f>
        <v>375</v>
      </c>
      <c r="S20" t="s">
        <v>93</v>
      </c>
      <c r="T20" t="s">
        <v>104</v>
      </c>
      <c r="U20" t="s">
        <v>104</v>
      </c>
      <c r="V20" t="s">
        <v>104</v>
      </c>
      <c r="X20" t="e">
        <f>ROUNDDOWN($T20+INDEX($AG$2:$BA$2,$AF$2,MATCH($C$1,$AG$1:$BA$1,0))*$U20+($C$2-1)*$V20+$W20,1)</f>
        <v>#VALUE!</v>
      </c>
      <c r="Y20" t="e">
        <f t="shared" si="0"/>
        <v>#VALUE!</v>
      </c>
      <c r="Z20" t="s">
        <v>148</v>
      </c>
      <c r="AA20" t="s">
        <v>104</v>
      </c>
      <c r="AB20" t="s">
        <v>104</v>
      </c>
      <c r="AD20" t="e">
        <f>ROUNDDOWN($Z20+INDEX($AG$2:$BA$2,$AF$2,MATCH($C$1,$AG$1:$BA$1,0))*$AA20+($C$2-1)*$AB20,1)</f>
        <v>#VALUE!</v>
      </c>
      <c r="AE20" t="e">
        <f t="shared" si="1"/>
        <v>#VALUE!</v>
      </c>
      <c r="AF20">
        <v>19</v>
      </c>
    </row>
    <row r="21" spans="1:32" ht="12.75">
      <c r="A21" s="20"/>
      <c r="B21" s="20"/>
      <c r="C21" s="20"/>
      <c r="H21" t="s">
        <v>60</v>
      </c>
      <c r="I21">
        <v>442</v>
      </c>
      <c r="J21">
        <v>158</v>
      </c>
      <c r="K21">
        <v>88</v>
      </c>
      <c r="L21">
        <v>31</v>
      </c>
      <c r="M21">
        <v>352</v>
      </c>
      <c r="N21">
        <v>124</v>
      </c>
      <c r="O21">
        <f>$I21+INDEX($AG$2:$BA$2,$AF$2,MATCH($C$1,$AG$1:$BA$1,0))*$M21/4+($C$2-1)*$K21</f>
        <v>442</v>
      </c>
      <c r="P21">
        <f>$J21+INDEX($AG$2:$BA$2,$AF$2,MATCH($C$1,$AG$1:$BA$1,0))*$N21/4+($C$2-1)*$L21</f>
        <v>158</v>
      </c>
      <c r="Q21">
        <f>$I21+INDEX($AG$2:$BA$2,$AF$2,MATCH($C$11,$AG$1:$BA$1,0))*$M21/4+($C$12-1)*$K21</f>
        <v>442</v>
      </c>
      <c r="R21">
        <f>$J21+INDEX($AG$2:$BA$2,$AF$2,MATCH($C$11,$AG$1:$BA$1,0))*$N21/4+($C$12-1)*$L21</f>
        <v>158</v>
      </c>
      <c r="S21" t="s">
        <v>159</v>
      </c>
      <c r="X21">
        <f>ROUNDDOWN($T21+INDEX($AG$2:$BA$2,$AF$2,MATCH($C$1,$AG$1:$BA$1,0))*$U21+($C$2-1)*$V21+$W21,1)</f>
        <v>0</v>
      </c>
      <c r="Y21">
        <f t="shared" si="0"/>
        <v>0</v>
      </c>
      <c r="AD21">
        <f>ROUNDDOWN($Z21+INDEX($AG$2:$BA$2,$AF$2,MATCH($C$1,$AG$1:$BA$1,0))*$AA21+($C$2-1)*$AB21,1)</f>
        <v>0</v>
      </c>
      <c r="AE21">
        <f t="shared" si="1"/>
        <v>0</v>
      </c>
      <c r="AF21">
        <v>20</v>
      </c>
    </row>
    <row r="22" spans="1:32" ht="12.75">
      <c r="A22" s="20"/>
      <c r="B22" s="20"/>
      <c r="C22" s="20"/>
      <c r="H22" t="s">
        <v>30</v>
      </c>
      <c r="I22">
        <v>470</v>
      </c>
      <c r="J22">
        <v>130</v>
      </c>
      <c r="K22">
        <v>94</v>
      </c>
      <c r="L22">
        <v>26</v>
      </c>
      <c r="M22">
        <v>376</v>
      </c>
      <c r="N22">
        <v>104</v>
      </c>
      <c r="O22">
        <f>$I22+INDEX($AG$2:$BA$2,$AF$2,MATCH($C$1,$AG$1:$BA$1,0))*$M22/4+($C$2-1)*$K22</f>
        <v>470</v>
      </c>
      <c r="P22">
        <f>$J22+INDEX($AG$2:$BA$2,$AF$2,MATCH($C$1,$AG$1:$BA$1,0))*$N22/4+($C$2-1)*$L22</f>
        <v>130</v>
      </c>
      <c r="Q22">
        <f>$I22+INDEX($AG$2:$BA$2,$AF$2,MATCH($C$11,$AG$1:$BA$1,0))*$M22/4+($C$12-1)*$K22</f>
        <v>470</v>
      </c>
      <c r="R22">
        <f>$J22+INDEX($AG$2:$BA$2,$AF$2,MATCH($C$11,$AG$1:$BA$1,0))*$N22/4+($C$12-1)*$L22</f>
        <v>130</v>
      </c>
      <c r="S22" t="s">
        <v>67</v>
      </c>
      <c r="T22">
        <f>25.4-(4/160)</f>
        <v>25.375</v>
      </c>
      <c r="U22">
        <f>9/160</f>
        <v>0.05625</v>
      </c>
      <c r="V22">
        <f>9/160</f>
        <v>0.05625</v>
      </c>
      <c r="X22">
        <f>ROUNDDOWN($T22+INDEX($AG$2:$BA$2,$AF$2,MATCH($C$1,$AG$1:$BA$1,0))*$U22+($C$2-1)*$V22+$W22,1)</f>
        <v>25.3</v>
      </c>
      <c r="Y22">
        <f t="shared" si="0"/>
        <v>25.3</v>
      </c>
      <c r="Z22" t="s">
        <v>148</v>
      </c>
      <c r="AA22" t="s">
        <v>149</v>
      </c>
      <c r="AB22" t="s">
        <v>104</v>
      </c>
      <c r="AD22" t="e">
        <f>ROUNDDOWN($Z22+INDEX($AG$2:$BA$2,$AF$2,MATCH($C$1,$AG$1:$BA$1,0))*$AA22+($C$2-1)*$AB22,1)</f>
        <v>#VALUE!</v>
      </c>
      <c r="AE22" t="e">
        <f t="shared" si="1"/>
        <v>#VALUE!</v>
      </c>
      <c r="AF22">
        <v>21</v>
      </c>
    </row>
    <row r="23" spans="1:32" ht="12.75">
      <c r="A23" s="20"/>
      <c r="B23" s="21"/>
      <c r="C23" s="21"/>
      <c r="H23" t="s">
        <v>152</v>
      </c>
      <c r="I23">
        <v>202</v>
      </c>
      <c r="J23">
        <v>398</v>
      </c>
      <c r="K23">
        <v>37</v>
      </c>
      <c r="L23">
        <v>82</v>
      </c>
      <c r="M23">
        <v>148</v>
      </c>
      <c r="N23">
        <v>328</v>
      </c>
      <c r="O23">
        <f>$I23+INDEX($AG$2:$BA$2,$AF$2,MATCH($C$1,$AG$1:$BA$1,0))*$M23/4+($C$2-1)*$K23</f>
        <v>202</v>
      </c>
      <c r="P23">
        <f>$J23+INDEX($AG$2:$BA$2,$AF$2,MATCH($C$1,$AG$1:$BA$1,0))*$N23/4+($C$2-1)*$L23</f>
        <v>398</v>
      </c>
      <c r="Q23">
        <f>$I23+INDEX($AG$2:$BA$2,$AF$2,MATCH($C$11,$AG$1:$BA$1,0))*$M23/4+($C$12-1)*$K23</f>
        <v>202</v>
      </c>
      <c r="R23">
        <f>$J23+INDEX($AG$2:$BA$2,$AF$2,MATCH($C$11,$AG$1:$BA$1,0))*$N23/4+($C$12-1)*$L23</f>
        <v>398</v>
      </c>
      <c r="S23" t="s">
        <v>153</v>
      </c>
      <c r="T23">
        <v>20.3</v>
      </c>
      <c r="U23">
        <f>23/340</f>
        <v>0.06764705882352941</v>
      </c>
      <c r="V23">
        <f>23/340</f>
        <v>0.06764705882352941</v>
      </c>
      <c r="X23">
        <f>ROUNDDOWN($T23+INDEX($AG$2:$BA$2,$AF$2,MATCH($C$1,$AG$1:$BA$1,0))*$U23+($C$2-1)*$V23+$W23,1)</f>
        <v>20.3</v>
      </c>
      <c r="Y23">
        <f t="shared" si="0"/>
        <v>20.3</v>
      </c>
      <c r="Z23" t="s">
        <v>113</v>
      </c>
      <c r="AA23" t="s">
        <v>104</v>
      </c>
      <c r="AB23" t="s">
        <v>104</v>
      </c>
      <c r="AD23" t="e">
        <f>ROUNDDOWN($Z23+INDEX($AG$2:$BA$2,$AF$2,MATCH($C$1,$AG$1:$BA$1,0))*$AA23+($C$2-1)*$AB23,1)</f>
        <v>#VALUE!</v>
      </c>
      <c r="AE23" t="e">
        <f t="shared" si="1"/>
        <v>#VALUE!</v>
      </c>
      <c r="AF23">
        <v>22</v>
      </c>
    </row>
    <row r="24" spans="3:32" ht="12.75">
      <c r="C24" s="20"/>
      <c r="H24" t="s">
        <v>135</v>
      </c>
      <c r="I24">
        <v>480</v>
      </c>
      <c r="J24">
        <v>120</v>
      </c>
      <c r="K24">
        <v>96</v>
      </c>
      <c r="L24">
        <v>24</v>
      </c>
      <c r="M24">
        <v>384</v>
      </c>
      <c r="N24">
        <v>96</v>
      </c>
      <c r="O24">
        <f>$I24+INDEX($AG$2:$BA$2,$AF$2,MATCH($C$1,$AG$1:$BA$1,0))*$M24/4+($C$2-1)*$K24</f>
        <v>480</v>
      </c>
      <c r="P24">
        <f>$J24+INDEX($AG$2:$BA$2,$AF$2,MATCH($C$1,$AG$1:$BA$1,0))*$N24/4+($C$2-1)*$L24</f>
        <v>120</v>
      </c>
      <c r="Q24">
        <f>$I24+INDEX($AG$2:$BA$2,$AF$2,MATCH($C$11,$AG$1:$BA$1,0))*$M24/4+($C$12-1)*$K24</f>
        <v>480</v>
      </c>
      <c r="R24">
        <f>$J24+INDEX($AG$2:$BA$2,$AF$2,MATCH($C$11,$AG$1:$BA$1,0))*$N24/4+($C$12-1)*$L24</f>
        <v>120</v>
      </c>
      <c r="S24" t="s">
        <v>140</v>
      </c>
      <c r="T24">
        <v>15.24</v>
      </c>
      <c r="U24">
        <f>192/4000</f>
        <v>0.048</v>
      </c>
      <c r="V24">
        <f>192/4000</f>
        <v>0.048</v>
      </c>
      <c r="X24">
        <f>ROUNDDOWN($T24+INDEX($AG$2:$BA$2,$AF$2,MATCH($C$1,$AG$1:$BA$1,0))*$U24+($C$2-1)*$V24+$W24,1)</f>
        <v>15.2</v>
      </c>
      <c r="Y24">
        <f t="shared" si="0"/>
        <v>15.2</v>
      </c>
      <c r="Z24">
        <f>20.17-(115/3990)</f>
        <v>20.141177944862157</v>
      </c>
      <c r="AA24">
        <f>115/3990</f>
        <v>0.02882205513784461</v>
      </c>
      <c r="AB24">
        <f>115/3990</f>
        <v>0.02882205513784461</v>
      </c>
      <c r="AD24">
        <f>ROUNDDOWN($Z24+INDEX($AG$2:$BA$2,$AF$2,MATCH($C$1,$AG$1:$BA$1,0))*$AA24+($C$2-1)*$AB24,1)</f>
        <v>20.1</v>
      </c>
      <c r="AE24">
        <f t="shared" si="1"/>
        <v>20.1</v>
      </c>
      <c r="AF24">
        <v>23</v>
      </c>
    </row>
    <row r="25" spans="1:32" ht="12.75">
      <c r="A25" s="20"/>
      <c r="D25" s="18"/>
      <c r="H25" t="s">
        <v>131</v>
      </c>
      <c r="I25">
        <v>470</v>
      </c>
      <c r="J25">
        <v>130</v>
      </c>
      <c r="K25" t="s">
        <v>104</v>
      </c>
      <c r="L25" t="s">
        <v>104</v>
      </c>
      <c r="M25" t="s">
        <v>104</v>
      </c>
      <c r="N25" t="s">
        <v>104</v>
      </c>
      <c r="O25" t="e">
        <f>$I25+INDEX($AG$2:$BA$2,$AF$2,MATCH($C$1,$AG$1:$BA$1,0))*$M25/4+($C$2-1)*$K25</f>
        <v>#VALUE!</v>
      </c>
      <c r="P25" t="e">
        <f>$J25+INDEX($AG$2:$BA$2,$AF$2,MATCH($C$1,$AG$1:$BA$1,0))*$N25/4+($C$2-1)*$L25</f>
        <v>#VALUE!</v>
      </c>
      <c r="Q25" t="e">
        <f>$I25+INDEX($AG$2:$BA$2,$AF$2,MATCH($C$11,$AG$1:$BA$1,0))*$M25/4+($C$12-1)*$K25</f>
        <v>#VALUE!</v>
      </c>
      <c r="R25" t="e">
        <f>$J25+INDEX($AG$2:$BA$2,$AF$2,MATCH($C$11,$AG$1:$BA$1,0))*$N25/4+($C$12-1)*$L25</f>
        <v>#VALUE!</v>
      </c>
      <c r="S25" t="s">
        <v>132</v>
      </c>
      <c r="T25">
        <v>24.7</v>
      </c>
      <c r="X25">
        <f>ROUNDDOWN($T25+INDEX($AG$2:$BA$2,$AF$2,MATCH($C$1,$AG$1:$BA$1,0))*$U25+($C$2-1)*$V25+$W25,1)</f>
        <v>24.7</v>
      </c>
      <c r="Y25">
        <f t="shared" si="0"/>
        <v>24.7</v>
      </c>
      <c r="Z25">
        <v>30.4</v>
      </c>
      <c r="AD25">
        <f>ROUNDDOWN($Z25+INDEX($AG$2:$BA$2,$AF$2,MATCH($C$1,$AG$1:$BA$1,0))*$AA25+($C$2-1)*$AB25,1)</f>
        <v>30.4</v>
      </c>
      <c r="AE25">
        <f t="shared" si="1"/>
        <v>30.4</v>
      </c>
      <c r="AF25">
        <v>24</v>
      </c>
    </row>
    <row r="26" spans="4:32" ht="12.75">
      <c r="D26" s="18"/>
      <c r="H26" t="s">
        <v>26</v>
      </c>
      <c r="I26">
        <v>175</v>
      </c>
      <c r="J26">
        <v>425</v>
      </c>
      <c r="K26">
        <v>35</v>
      </c>
      <c r="L26">
        <v>85</v>
      </c>
      <c r="M26">
        <v>140</v>
      </c>
      <c r="N26">
        <v>340</v>
      </c>
      <c r="O26">
        <f>$I26+INDEX($AG$2:$BA$2,$AF$2,MATCH($C$1,$AG$1:$BA$1,0))*$M26/4+($C$2-1)*$K26</f>
        <v>175</v>
      </c>
      <c r="P26">
        <f>$J26+INDEX($AG$2:$BA$2,$AF$2,MATCH($C$1,$AG$1:$BA$1,0))*$N26/4+($C$2-1)*$L26</f>
        <v>425</v>
      </c>
      <c r="Q26">
        <f>$I26+INDEX($AG$2:$BA$2,$AF$2,MATCH($C$11,$AG$1:$BA$1,0))*$M26/4+($C$12-1)*$K26</f>
        <v>175</v>
      </c>
      <c r="R26">
        <f>$J26+INDEX($AG$2:$BA$2,$AF$2,MATCH($C$11,$AG$1:$BA$1,0))*$N26/4+($C$12-1)*$L26</f>
        <v>425</v>
      </c>
      <c r="S26" t="s">
        <v>75</v>
      </c>
      <c r="X26">
        <f>ROUNDDOWN($T26+INDEX($AG$2:$BA$2,$AF$2,MATCH($C$1,$AG$1:$BA$1,0))*$U26+($C$2-1)*$V26+$W26,1)</f>
        <v>0</v>
      </c>
      <c r="Y26">
        <f t="shared" si="0"/>
        <v>0</v>
      </c>
      <c r="Z26" t="s">
        <v>104</v>
      </c>
      <c r="AA26" t="s">
        <v>149</v>
      </c>
      <c r="AB26" t="s">
        <v>104</v>
      </c>
      <c r="AD26" t="e">
        <f>ROUNDDOWN($Z26+INDEX($AG$2:$BA$2,$AF$2,MATCH($C$1,$AG$1:$BA$1,0))*$AA26+($C$2-1)*$AB26,1)</f>
        <v>#VALUE!</v>
      </c>
      <c r="AE26" t="e">
        <f t="shared" si="1"/>
        <v>#VALUE!</v>
      </c>
      <c r="AF26">
        <v>25</v>
      </c>
    </row>
    <row r="27" spans="8:32" ht="12.75">
      <c r="H27" t="s">
        <v>48</v>
      </c>
      <c r="I27">
        <v>311</v>
      </c>
      <c r="J27">
        <v>289</v>
      </c>
      <c r="K27">
        <v>62</v>
      </c>
      <c r="L27">
        <v>57</v>
      </c>
      <c r="M27">
        <v>251</v>
      </c>
      <c r="N27">
        <v>225</v>
      </c>
      <c r="O27">
        <f>$I27+INDEX($AG$2:$BA$2,$AF$2,MATCH($C$1,$AG$1:$BA$1,0))*$M27/4+($C$2-1)*$K27</f>
        <v>311</v>
      </c>
      <c r="P27">
        <f>$J27+INDEX($AG$2:$BA$2,$AF$2,MATCH($C$1,$AG$1:$BA$1,0))*$N27/4+($C$2-1)*$L27</f>
        <v>289</v>
      </c>
      <c r="Q27">
        <f>$I27+INDEX($AG$2:$BA$2,$AF$2,MATCH($C$11,$AG$1:$BA$1,0))*$M27/4+($C$12-1)*$K27</f>
        <v>311</v>
      </c>
      <c r="R27">
        <f>$J27+INDEX($AG$2:$BA$2,$AF$2,MATCH($C$11,$AG$1:$BA$1,0))*$N27/4+($C$12-1)*$L27</f>
        <v>289</v>
      </c>
      <c r="S27" t="s">
        <v>73</v>
      </c>
      <c r="X27">
        <f>ROUNDDOWN($T27+INDEX($AG$2:$BA$2,$AF$2,MATCH($C$1,$AG$1:$BA$1,0))*$U27+($C$2-1)*$V27+$W27,1)</f>
        <v>0</v>
      </c>
      <c r="Y27">
        <f t="shared" si="0"/>
        <v>0</v>
      </c>
      <c r="Z27" t="s">
        <v>104</v>
      </c>
      <c r="AA27" t="s">
        <v>104</v>
      </c>
      <c r="AB27" t="s">
        <v>104</v>
      </c>
      <c r="AD27" t="e">
        <f>ROUNDDOWN($Z27+INDEX($AG$2:$BA$2,$AF$2,MATCH($C$1,$AG$1:$BA$1,0))*$AA27+($C$2-1)*$AB27,1)</f>
        <v>#VALUE!</v>
      </c>
      <c r="AE27" t="e">
        <f t="shared" si="1"/>
        <v>#VALUE!</v>
      </c>
      <c r="AF27">
        <v>26</v>
      </c>
    </row>
    <row r="28" spans="8:32" ht="12.75">
      <c r="H28" t="s">
        <v>41</v>
      </c>
      <c r="I28">
        <v>311</v>
      </c>
      <c r="J28">
        <v>289</v>
      </c>
      <c r="K28">
        <v>62</v>
      </c>
      <c r="L28">
        <v>57</v>
      </c>
      <c r="M28">
        <v>248</v>
      </c>
      <c r="N28">
        <v>228</v>
      </c>
      <c r="O28">
        <f>$I28+INDEX($AG$2:$BA$2,$AF$2,MATCH($C$1,$AG$1:$BA$1,0))*$M28/4+($C$2-1)*$K28</f>
        <v>311</v>
      </c>
      <c r="P28">
        <f>$J28+INDEX($AG$2:$BA$2,$AF$2,MATCH($C$1,$AG$1:$BA$1,0))*$N28/4+($C$2-1)*$L28</f>
        <v>289</v>
      </c>
      <c r="Q28">
        <f>$I28+INDEX($AG$2:$BA$2,$AF$2,MATCH($C$11,$AG$1:$BA$1,0))*$M28/4+($C$12-1)*$K28</f>
        <v>311</v>
      </c>
      <c r="R28">
        <f>$J28+INDEX($AG$2:$BA$2,$AF$2,MATCH($C$11,$AG$1:$BA$1,0))*$N28/4+($C$12-1)*$L28</f>
        <v>289</v>
      </c>
      <c r="S28" t="s">
        <v>77</v>
      </c>
      <c r="T28">
        <v>25.2</v>
      </c>
      <c r="U28">
        <v>0.0372</v>
      </c>
      <c r="V28">
        <v>0.0372</v>
      </c>
      <c r="X28">
        <f>ROUNDDOWN($T28+INDEX($AG$2:$BA$2,$AF$2,MATCH($C$1,$AG$1:$BA$1,0))*$U28+($C$2-1)*$V28+$W28,1)</f>
        <v>25.2</v>
      </c>
      <c r="Y28">
        <f t="shared" si="0"/>
        <v>25.2</v>
      </c>
      <c r="Z28" t="s">
        <v>104</v>
      </c>
      <c r="AA28" t="s">
        <v>104</v>
      </c>
      <c r="AB28" t="s">
        <v>104</v>
      </c>
      <c r="AD28" t="e">
        <f>ROUNDDOWN($Z28+INDEX($AG$2:$BA$2,$AF$2,MATCH($C$1,$AG$1:$BA$1,0))*$AA28+($C$2-1)*$AB28,1)</f>
        <v>#VALUE!</v>
      </c>
      <c r="AE28" t="e">
        <f t="shared" si="1"/>
        <v>#VALUE!</v>
      </c>
      <c r="AF28">
        <v>27</v>
      </c>
    </row>
    <row r="29" spans="8:32" ht="12.75">
      <c r="H29" t="s">
        <v>59</v>
      </c>
      <c r="I29">
        <v>186</v>
      </c>
      <c r="J29">
        <v>414</v>
      </c>
      <c r="K29">
        <v>37</v>
      </c>
      <c r="L29">
        <v>82</v>
      </c>
      <c r="M29">
        <v>148</v>
      </c>
      <c r="N29">
        <v>328</v>
      </c>
      <c r="O29">
        <f>$I29+INDEX($AG$2:$BA$2,$AF$2,MATCH($C$1,$AG$1:$BA$1,0))*$M29/4+($C$2-1)*$K29</f>
        <v>186</v>
      </c>
      <c r="P29">
        <f>$J29+INDEX($AG$2:$BA$2,$AF$2,MATCH($C$1,$AG$1:$BA$1,0))*$N29/4+($C$2-1)*$L29</f>
        <v>414</v>
      </c>
      <c r="Q29">
        <f>$I29+INDEX($AG$2:$BA$2,$AF$2,MATCH($C$11,$AG$1:$BA$1,0))*$M29/4+($C$12-1)*$K29</f>
        <v>186</v>
      </c>
      <c r="R29">
        <f>$J29+INDEX($AG$2:$BA$2,$AF$2,MATCH($C$11,$AG$1:$BA$1,0))*$N29/4+($C$12-1)*$L29</f>
        <v>414</v>
      </c>
      <c r="S29" t="s">
        <v>92</v>
      </c>
      <c r="X29">
        <f>ROUNDDOWN($T29+INDEX($AG$2:$BA$2,$AF$2,MATCH($C$1,$AG$1:$BA$1,0))*$U29+($C$2-1)*$V29+$W29,1)</f>
        <v>0</v>
      </c>
      <c r="Y29">
        <f t="shared" si="0"/>
        <v>0</v>
      </c>
      <c r="Z29" t="s">
        <v>104</v>
      </c>
      <c r="AA29" t="s">
        <v>104</v>
      </c>
      <c r="AB29" t="s">
        <v>104</v>
      </c>
      <c r="AD29" t="e">
        <f>ROUNDDOWN($Z29+INDEX($AG$2:$BA$2,$AF$2,MATCH($C$1,$AG$1:$BA$1,0))*$AA29+($C$2-1)*$AB29,1)</f>
        <v>#VALUE!</v>
      </c>
      <c r="AE29" t="e">
        <f t="shared" si="1"/>
        <v>#VALUE!</v>
      </c>
      <c r="AF29">
        <v>28</v>
      </c>
    </row>
    <row r="30" spans="8:32" ht="12.75">
      <c r="H30" t="s">
        <v>58</v>
      </c>
      <c r="I30">
        <v>449</v>
      </c>
      <c r="J30">
        <v>151</v>
      </c>
      <c r="K30">
        <v>89</v>
      </c>
      <c r="L30">
        <v>30</v>
      </c>
      <c r="M30">
        <v>356</v>
      </c>
      <c r="N30">
        <v>120</v>
      </c>
      <c r="O30">
        <f>$I30+INDEX($AG$2:$BA$2,$AF$2,MATCH($C$1,$AG$1:$BA$1,0))*$M30/4+($C$2-1)*$K30</f>
        <v>449</v>
      </c>
      <c r="P30">
        <f>$J30+INDEX($AG$2:$BA$2,$AF$2,MATCH($C$1,$AG$1:$BA$1,0))*$N30/4+($C$2-1)*$L30</f>
        <v>151</v>
      </c>
      <c r="Q30">
        <f>$I30+INDEX($AG$2:$BA$2,$AF$2,MATCH($C$11,$AG$1:$BA$1,0))*$M30/4+($C$12-1)*$K30</f>
        <v>449</v>
      </c>
      <c r="R30">
        <f>$J30+INDEX($AG$2:$BA$2,$AF$2,MATCH($C$11,$AG$1:$BA$1,0))*$N30/4+($C$12-1)*$L30</f>
        <v>151</v>
      </c>
      <c r="S30" t="s">
        <v>91</v>
      </c>
      <c r="X30">
        <f>ROUNDDOWN($T30+INDEX($AG$2:$BA$2,$AF$2,MATCH($C$1,$AG$1:$BA$1,0))*$U30+($C$2-1)*$V30+$W30,1)</f>
        <v>0</v>
      </c>
      <c r="Y30">
        <f t="shared" si="0"/>
        <v>0</v>
      </c>
      <c r="Z30" t="s">
        <v>104</v>
      </c>
      <c r="AA30" t="s">
        <v>104</v>
      </c>
      <c r="AB30" t="s">
        <v>104</v>
      </c>
      <c r="AD30" t="e">
        <f>ROUNDDOWN($Z30+INDEX($AG$2:$BA$2,$AF$2,MATCH($C$1,$AG$1:$BA$1,0))*$AA30+($C$2-1)*$AB30,1)</f>
        <v>#VALUE!</v>
      </c>
      <c r="AE30" t="e">
        <f t="shared" si="1"/>
        <v>#VALUE!</v>
      </c>
      <c r="AF30">
        <v>29</v>
      </c>
    </row>
    <row r="31" spans="8:32" ht="12.75">
      <c r="H31" t="s">
        <v>57</v>
      </c>
      <c r="I31">
        <v>346</v>
      </c>
      <c r="J31">
        <v>254</v>
      </c>
      <c r="K31">
        <v>69</v>
      </c>
      <c r="L31">
        <v>50</v>
      </c>
      <c r="M31">
        <v>276</v>
      </c>
      <c r="N31">
        <v>200</v>
      </c>
      <c r="O31">
        <f>$I31+INDEX($AG$2:$BA$2,$AF$2,MATCH($C$1,$AG$1:$BA$1,0))*$M31/4+($C$2-1)*$K31</f>
        <v>346</v>
      </c>
      <c r="P31">
        <f>$J31+INDEX($AG$2:$BA$2,$AF$2,MATCH($C$1,$AG$1:$BA$1,0))*$N31/4+($C$2-1)*$L31</f>
        <v>254</v>
      </c>
      <c r="Q31">
        <f>$I31+INDEX($AG$2:$BA$2,$AF$2,MATCH($C$11,$AG$1:$BA$1,0))*$M31/4+($C$12-1)*$K31</f>
        <v>346</v>
      </c>
      <c r="R31">
        <f>$J31+INDEX($AG$2:$BA$2,$AF$2,MATCH($C$11,$AG$1:$BA$1,0))*$N31/4+($C$12-1)*$L31</f>
        <v>254</v>
      </c>
      <c r="S31" t="s">
        <v>90</v>
      </c>
      <c r="X31">
        <f>ROUNDDOWN($T31+INDEX($AG$2:$BA$2,$AF$2,MATCH($C$1,$AG$1:$BA$1,0))*$U31+($C$2-1)*$V31+$W31,1)</f>
        <v>0</v>
      </c>
      <c r="Y31">
        <f t="shared" si="0"/>
        <v>0</v>
      </c>
      <c r="Z31" t="s">
        <v>149</v>
      </c>
      <c r="AA31" t="s">
        <v>104</v>
      </c>
      <c r="AB31" t="s">
        <v>104</v>
      </c>
      <c r="AD31" t="e">
        <f>ROUNDDOWN($Z31+INDEX($AG$2:$BA$2,$AF$2,MATCH($C$1,$AG$1:$BA$1,0))*$AA31+($C$2-1)*$AB31,1)</f>
        <v>#VALUE!</v>
      </c>
      <c r="AE31" t="e">
        <f t="shared" si="1"/>
        <v>#VALUE!</v>
      </c>
      <c r="AF31">
        <v>30</v>
      </c>
    </row>
    <row r="32" spans="8:32" ht="12.75">
      <c r="H32" t="s">
        <v>51</v>
      </c>
      <c r="I32" t="s">
        <v>50</v>
      </c>
      <c r="J32" t="s">
        <v>50</v>
      </c>
      <c r="K32" t="s">
        <v>50</v>
      </c>
      <c r="L32" t="s">
        <v>50</v>
      </c>
      <c r="M32" t="s">
        <v>117</v>
      </c>
      <c r="N32" t="s">
        <v>116</v>
      </c>
      <c r="O32" t="e">
        <f>$I32+INDEX($AG$2:$BA$2,$AF$2,MATCH($C$1,$AG$1:$BA$1,0))*$M32/4+($C$2-1)*$K32</f>
        <v>#VALUE!</v>
      </c>
      <c r="P32" t="e">
        <f>$J32+INDEX($AG$2:$BA$2,$AF$2,MATCH($C$1,$AG$1:$BA$1,0))*$N32/4+($C$2-1)*$L32</f>
        <v>#VALUE!</v>
      </c>
      <c r="Q32" t="e">
        <f>$I32+INDEX($AG$2:$BA$2,$AF$2,MATCH($C$11,$AG$1:$BA$1,0))*$M32/4+($C$12-1)*$K32</f>
        <v>#VALUE!</v>
      </c>
      <c r="R32" t="e">
        <f>$J32+INDEX($AG$2:$BA$2,$AF$2,MATCH($C$11,$AG$1:$BA$1,0))*$N32/4+($C$12-1)*$L32</f>
        <v>#VALUE!</v>
      </c>
      <c r="S32" t="s">
        <v>117</v>
      </c>
      <c r="T32" t="s">
        <v>117</v>
      </c>
      <c r="U32" t="s">
        <v>117</v>
      </c>
      <c r="V32" t="s">
        <v>117</v>
      </c>
      <c r="X32" t="e">
        <f>ROUNDDOWN($T32+INDEX($AG$2:$BA$2,$AF$2,MATCH($C$1,$AG$1:$BA$1,0))*$U32+($C$2-1)*$V32+$W32,1)</f>
        <v>#VALUE!</v>
      </c>
      <c r="Y32" t="e">
        <f t="shared" si="0"/>
        <v>#VALUE!</v>
      </c>
      <c r="Z32" t="s">
        <v>117</v>
      </c>
      <c r="AA32" t="s">
        <v>117</v>
      </c>
      <c r="AB32" t="s">
        <v>117</v>
      </c>
      <c r="AD32" t="e">
        <f>ROUNDDOWN($Z32+INDEX($AG$2:$BA$2,$AF$2,MATCH($C$1,$AG$1:$BA$1,0))*$AA32+($C$2-1)*$AB32,1)</f>
        <v>#VALUE!</v>
      </c>
      <c r="AE32" t="e">
        <f t="shared" si="1"/>
        <v>#VALUE!</v>
      </c>
      <c r="AF32">
        <v>31</v>
      </c>
    </row>
    <row r="33" spans="8:32" ht="12.75">
      <c r="H33" s="9" t="s">
        <v>39</v>
      </c>
      <c r="I33" s="9">
        <v>174</v>
      </c>
      <c r="J33" s="9">
        <v>126</v>
      </c>
      <c r="K33" s="9">
        <v>34</v>
      </c>
      <c r="L33" s="9">
        <v>25</v>
      </c>
      <c r="M33" s="9">
        <v>136</v>
      </c>
      <c r="N33" s="9">
        <v>100</v>
      </c>
      <c r="O33">
        <f>$I33+INDEX($AG$2:$BA$2,$AF$2,MATCH($C$1,$AG$1:$BA$1,0))*$M33/4+($C$2-1)*$K33</f>
        <v>174</v>
      </c>
      <c r="P33">
        <f>$J33+INDEX($AG$2:$BA$2,$AF$2,MATCH($C$1,$AG$1:$BA$1,0))*$N33/4+($C$2-1)*$L33</f>
        <v>126</v>
      </c>
      <c r="Q33">
        <f>$I33+INDEX($AG$2:$BA$2,$AF$2,MATCH($C$11,$AG$1:$BA$1,0))*$M33/4+($C$12-1)*$K33</f>
        <v>174</v>
      </c>
      <c r="R33">
        <f>$J33+INDEX($AG$2:$BA$2,$AF$2,MATCH($C$11,$AG$1:$BA$1,0))*$N33/4+($C$12-1)*$L33</f>
        <v>126</v>
      </c>
      <c r="S33" t="s">
        <v>154</v>
      </c>
      <c r="X33">
        <f>ROUNDDOWN($T33+INDEX($AG$2:$BA$2,$AF$2,MATCH($C$1,$AG$1:$BA$1,0))*$U33+($C$2-1)*$V33+$W33,1)</f>
        <v>0</v>
      </c>
      <c r="Y33">
        <f t="shared" si="0"/>
        <v>0</v>
      </c>
      <c r="AD33">
        <f>ROUNDDOWN($Z33+INDEX($AG$2:$BA$2,$AF$2,MATCH($C$1,$AG$1:$BA$1,0))*$AA33+($C$2-1)*$AB33,1)</f>
        <v>0</v>
      </c>
      <c r="AE33">
        <f t="shared" si="1"/>
        <v>0</v>
      </c>
      <c r="AF33">
        <v>32</v>
      </c>
    </row>
    <row r="34" spans="8:32" ht="12.75">
      <c r="H34" s="9" t="s">
        <v>38</v>
      </c>
      <c r="I34" s="9">
        <v>227</v>
      </c>
      <c r="J34" s="9">
        <v>73</v>
      </c>
      <c r="K34" s="9">
        <v>45</v>
      </c>
      <c r="L34" s="9">
        <v>14</v>
      </c>
      <c r="M34" s="9">
        <v>180</v>
      </c>
      <c r="N34" s="9">
        <v>56</v>
      </c>
      <c r="O34">
        <f>$I34+INDEX($AG$2:$BA$2,$AF$2,MATCH($C$1,$AG$1:$BA$1,0))*$M34/4+($C$2-1)*$K34</f>
        <v>227</v>
      </c>
      <c r="P34">
        <f>$J34+INDEX($AG$2:$BA$2,$AF$2,MATCH($C$1,$AG$1:$BA$1,0))*$N34/4+($C$2-1)*$L34</f>
        <v>73</v>
      </c>
      <c r="Q34">
        <f>$I34+INDEX($AG$2:$BA$2,$AF$2,MATCH($C$11,$AG$1:$BA$1,0))*$M34/4+($C$12-1)*$K34</f>
        <v>227</v>
      </c>
      <c r="R34">
        <f>$J34+INDEX($AG$2:$BA$2,$AF$2,MATCH($C$11,$AG$1:$BA$1,0))*$N34/4+($C$12-1)*$L34</f>
        <v>73</v>
      </c>
      <c r="S34" t="s">
        <v>79</v>
      </c>
      <c r="X34">
        <f>ROUNDDOWN($T34+INDEX($AG$2:$BA$2,$AF$2,MATCH($C$1,$AG$1:$BA$1,0))*$U34+($C$2-1)*$V34+$W34,1)</f>
        <v>0</v>
      </c>
      <c r="Y34">
        <f t="shared" si="0"/>
        <v>0</v>
      </c>
      <c r="AD34">
        <f>ROUNDDOWN($Z34+INDEX($AG$2:$BA$2,$AF$2,MATCH($C$1,$AG$1:$BA$1,0))*$AA34+($C$2-1)*$AB34,1)</f>
        <v>0</v>
      </c>
      <c r="AE34">
        <f t="shared" si="1"/>
        <v>0</v>
      </c>
      <c r="AF34">
        <v>33</v>
      </c>
    </row>
    <row r="35" spans="8:32" ht="12.75">
      <c r="H35" s="9" t="s">
        <v>36</v>
      </c>
      <c r="I35" s="9">
        <v>163</v>
      </c>
      <c r="J35" s="9">
        <v>137</v>
      </c>
      <c r="K35" s="9">
        <v>32</v>
      </c>
      <c r="L35" s="9">
        <v>27</v>
      </c>
      <c r="M35" s="9">
        <v>128</v>
      </c>
      <c r="N35" s="9">
        <v>108</v>
      </c>
      <c r="O35">
        <f>$I35+INDEX($AG$2:$BA$2,$AF$2,MATCH($C$1,$AG$1:$BA$1,0))*$M35/4+($C$2-1)*$K35</f>
        <v>163</v>
      </c>
      <c r="P35">
        <f>$J35+INDEX($AG$2:$BA$2,$AF$2,MATCH($C$1,$AG$1:$BA$1,0))*$N35/4+($C$2-1)*$L35</f>
        <v>137</v>
      </c>
      <c r="Q35">
        <f>$I35+INDEX($AG$2:$BA$2,$AF$2,MATCH($C$11,$AG$1:$BA$1,0))*$M35/4+($C$12-1)*$K35</f>
        <v>163</v>
      </c>
      <c r="R35">
        <f>$J35+INDEX($AG$2:$BA$2,$AF$2,MATCH($C$11,$AG$1:$BA$1,0))*$N35/4+($C$12-1)*$L35</f>
        <v>137</v>
      </c>
      <c r="S35" t="s">
        <v>80</v>
      </c>
      <c r="X35">
        <f>ROUNDDOWN($T35+INDEX($AG$2:$BA$2,$AF$2,MATCH($C$1,$AG$1:$BA$1,0))*$U35+($C$2-1)*$V35+$W35,1)</f>
        <v>0</v>
      </c>
      <c r="Y35">
        <f t="shared" si="0"/>
        <v>0</v>
      </c>
      <c r="AD35">
        <f>ROUNDDOWN($Z35+INDEX($AG$2:$BA$2,$AF$2,MATCH($C$1,$AG$1:$BA$1,0))*$AA35+($C$2-1)*$AB35,1)</f>
        <v>0</v>
      </c>
      <c r="AE35">
        <f t="shared" si="1"/>
        <v>0</v>
      </c>
      <c r="AF35">
        <v>34</v>
      </c>
    </row>
    <row r="36" spans="8:32" ht="12.75">
      <c r="H36" s="10" t="s">
        <v>37</v>
      </c>
      <c r="I36" s="9">
        <v>106</v>
      </c>
      <c r="J36" s="9">
        <v>194</v>
      </c>
      <c r="K36" s="9">
        <v>21</v>
      </c>
      <c r="L36" s="9">
        <v>38</v>
      </c>
      <c r="M36" s="9">
        <v>84</v>
      </c>
      <c r="N36" s="9">
        <v>152</v>
      </c>
      <c r="O36">
        <f>$I36+INDEX($AG$2:$BA$2,$AF$2,MATCH($C$1,$AG$1:$BA$1,0))*$M36/4+($C$2-1)*$K36</f>
        <v>106</v>
      </c>
      <c r="P36">
        <f>$J36+INDEX($AG$2:$BA$2,$AF$2,MATCH($C$1,$AG$1:$BA$1,0))*$N36/4+($C$2-1)*$L36</f>
        <v>194</v>
      </c>
      <c r="Q36">
        <f>$I36+INDEX($AG$2:$BA$2,$AF$2,MATCH($C$11,$AG$1:$BA$1,0))*$M36/4+($C$12-1)*$K36</f>
        <v>106</v>
      </c>
      <c r="R36">
        <f>$J36+INDEX($AG$2:$BA$2,$AF$2,MATCH($C$11,$AG$1:$BA$1,0))*$N36/4+($C$12-1)*$L36</f>
        <v>194</v>
      </c>
      <c r="S36" t="s">
        <v>82</v>
      </c>
      <c r="X36">
        <f>ROUNDDOWN($T36+INDEX($AG$2:$BA$2,$AF$2,MATCH($C$1,$AG$1:$BA$1,0))*$U36+($C$2-1)*$V36+$W36,1)</f>
        <v>0</v>
      </c>
      <c r="Y36">
        <f t="shared" si="0"/>
        <v>0</v>
      </c>
      <c r="AD36">
        <f>ROUNDDOWN($Z36+INDEX($AG$2:$BA$2,$AF$2,MATCH($C$1,$AG$1:$BA$1,0))*$AA36+($C$2-1)*$AB36,1)</f>
        <v>0</v>
      </c>
      <c r="AE36">
        <f t="shared" si="1"/>
        <v>0</v>
      </c>
      <c r="AF36">
        <v>35</v>
      </c>
    </row>
    <row r="37" spans="8:32" ht="12.75">
      <c r="H37" s="10" t="s">
        <v>99</v>
      </c>
      <c r="I37" s="9">
        <v>102</v>
      </c>
      <c r="J37" s="9">
        <v>198</v>
      </c>
      <c r="K37" s="9">
        <v>21</v>
      </c>
      <c r="L37" s="9">
        <v>39</v>
      </c>
      <c r="M37" s="9">
        <v>80</v>
      </c>
      <c r="N37" s="9">
        <v>156</v>
      </c>
      <c r="O37">
        <f>$I37+INDEX($AG$2:$BA$2,$AF$2,MATCH($C$1,$AG$1:$BA$1,0))*$M37/4+($C$2-1)*$K37</f>
        <v>102</v>
      </c>
      <c r="P37">
        <f>$J37+INDEX($AG$2:$BA$2,$AF$2,MATCH($C$1,$AG$1:$BA$1,0))*$N37/4+($C$2-1)*$L37</f>
        <v>198</v>
      </c>
      <c r="Q37">
        <f>$I37+INDEX($AG$2:$BA$2,$AF$2,MATCH($C$11,$AG$1:$BA$1,0))*$M37/4+($C$12-1)*$K37</f>
        <v>102</v>
      </c>
      <c r="R37">
        <f>$J37+INDEX($AG$2:$BA$2,$AF$2,MATCH($C$11,$AG$1:$BA$1,0))*$N37/4+($C$12-1)*$L37</f>
        <v>198</v>
      </c>
      <c r="S37" t="s">
        <v>100</v>
      </c>
      <c r="T37">
        <v>20.1</v>
      </c>
      <c r="U37">
        <f>7/450</f>
        <v>0.015555555555555555</v>
      </c>
      <c r="V37">
        <f>7/450</f>
        <v>0.015555555555555555</v>
      </c>
      <c r="X37">
        <f>ROUNDDOWN($T37+INDEX($AG$2:$BA$2,$AF$2,MATCH($C$1,$AG$1:$BA$1,0))*$U37+($C$2-1)*$V37+$W37,1)</f>
        <v>20.1</v>
      </c>
      <c r="Y37">
        <f t="shared" si="0"/>
        <v>20.1</v>
      </c>
      <c r="Z37">
        <v>22.1</v>
      </c>
      <c r="AA37">
        <f>6/310</f>
        <v>0.01935483870967742</v>
      </c>
      <c r="AB37">
        <f>6/310</f>
        <v>0.01935483870967742</v>
      </c>
      <c r="AD37">
        <f>ROUNDDOWN($Z37+INDEX($AG$2:$BA$2,$AF$2,MATCH($C$1,$AG$1:$BA$1,0))*$AA37+($C$2-1)*$AB37,1)</f>
        <v>22.1</v>
      </c>
      <c r="AE37">
        <f t="shared" si="1"/>
        <v>22.1</v>
      </c>
      <c r="AF37">
        <v>36</v>
      </c>
    </row>
    <row r="38" spans="8:32" ht="12.75">
      <c r="H38" s="10" t="s">
        <v>35</v>
      </c>
      <c r="I38" s="9">
        <v>130</v>
      </c>
      <c r="J38" s="9">
        <v>170</v>
      </c>
      <c r="K38" s="9">
        <v>26</v>
      </c>
      <c r="L38" s="9">
        <v>34</v>
      </c>
      <c r="M38" s="9">
        <v>104</v>
      </c>
      <c r="N38" s="9">
        <v>136</v>
      </c>
      <c r="O38">
        <f>$I38+INDEX($AG$2:$BA$2,$AF$2,MATCH($C$1,$AG$1:$BA$1,0))*$M38/4+($C$2-1)*$K38</f>
        <v>130</v>
      </c>
      <c r="P38">
        <f>$J38+INDEX($AG$2:$BA$2,$AF$2,MATCH($C$1,$AG$1:$BA$1,0))*$N38/4+($C$2-1)*$L38</f>
        <v>170</v>
      </c>
      <c r="Q38">
        <f>$I38+INDEX($AG$2:$BA$2,$AF$2,MATCH($C$11,$AG$1:$BA$1,0))*$M38/4+($C$12-1)*$K38</f>
        <v>130</v>
      </c>
      <c r="R38">
        <f>$J38+INDEX($AG$2:$BA$2,$AF$2,MATCH($C$11,$AG$1:$BA$1,0))*$N38/4+($C$12-1)*$L38</f>
        <v>170</v>
      </c>
      <c r="S38" t="s">
        <v>83</v>
      </c>
      <c r="X38">
        <f>ROUNDDOWN($T38+INDEX($AG$2:$BA$2,$AF$2,MATCH($C$1,$AG$1:$BA$1,0))*$U38+($C$2-1)*$V38+$W38,1)</f>
        <v>0</v>
      </c>
      <c r="Y38">
        <f t="shared" si="0"/>
        <v>0</v>
      </c>
      <c r="AD38">
        <f>ROUNDDOWN($Z38+INDEX($AG$2:$BA$2,$AF$2,MATCH($C$1,$AG$1:$BA$1,0))*$AA38+($C$2-1)*$AB38,1)</f>
        <v>0</v>
      </c>
      <c r="AE38">
        <f t="shared" si="1"/>
        <v>0</v>
      </c>
      <c r="AF38">
        <v>37</v>
      </c>
    </row>
    <row r="39" spans="8:32" ht="12.75">
      <c r="H39" s="9" t="s">
        <v>33</v>
      </c>
      <c r="I39" s="9">
        <v>218</v>
      </c>
      <c r="J39" s="9">
        <v>82</v>
      </c>
      <c r="K39" s="9">
        <v>43</v>
      </c>
      <c r="L39" s="9">
        <v>16</v>
      </c>
      <c r="M39" s="9">
        <v>172</v>
      </c>
      <c r="N39" s="9">
        <v>64</v>
      </c>
      <c r="O39">
        <f>$I39+INDEX($AG$2:$BA$2,$AF$2,MATCH($C$1,$AG$1:$BA$1,0))*$M39/4+($C$2-1)*$K39</f>
        <v>218</v>
      </c>
      <c r="P39">
        <f>$J39+INDEX($AG$2:$BA$2,$AF$2,MATCH($C$1,$AG$1:$BA$1,0))*$N39/4+($C$2-1)*$L39</f>
        <v>82</v>
      </c>
      <c r="Q39">
        <f>$I39+INDEX($AG$2:$BA$2,$AF$2,MATCH($C$11,$AG$1:$BA$1,0))*$M39/4+($C$12-1)*$K39</f>
        <v>218</v>
      </c>
      <c r="R39">
        <f>$J39+INDEX($AG$2:$BA$2,$AF$2,MATCH($C$11,$AG$1:$BA$1,0))*$N39/4+($C$12-1)*$L39</f>
        <v>82</v>
      </c>
      <c r="S39" t="s">
        <v>81</v>
      </c>
      <c r="X39">
        <f>ROUNDDOWN($T39+INDEX($AG$2:$BA$2,$AF$2,MATCH($C$1,$AG$1:$BA$1,0))*$U39+($C$2-1)*$V39+$W39,1)</f>
        <v>0</v>
      </c>
      <c r="Y39">
        <f t="shared" si="0"/>
        <v>0</v>
      </c>
      <c r="AD39">
        <f>ROUNDDOWN($Z39+INDEX($AG$2:$BA$2,$AF$2,MATCH($C$1,$AG$1:$BA$1,0))*$AA39+($C$2-1)*$AB39,1)</f>
        <v>0</v>
      </c>
      <c r="AE39">
        <f t="shared" si="1"/>
        <v>0</v>
      </c>
      <c r="AF39">
        <v>38</v>
      </c>
    </row>
    <row r="40" spans="8:32" ht="12.75">
      <c r="H40" s="9" t="s">
        <v>34</v>
      </c>
      <c r="I40" s="9">
        <v>102</v>
      </c>
      <c r="J40" s="9">
        <v>198</v>
      </c>
      <c r="K40" s="9">
        <v>20</v>
      </c>
      <c r="L40" s="9">
        <v>39</v>
      </c>
      <c r="M40" s="9">
        <v>80</v>
      </c>
      <c r="N40" s="9">
        <v>156</v>
      </c>
      <c r="O40">
        <f>$I40+INDEX($AG$2:$BA$2,$AF$2,MATCH($C$1,$AG$1:$BA$1,0))*$M40/4+($C$2-1)*$K40</f>
        <v>102</v>
      </c>
      <c r="P40">
        <f>$J40+INDEX($AG$2:$BA$2,$AF$2,MATCH($C$1,$AG$1:$BA$1,0))*$N40/4+($C$2-1)*$L40</f>
        <v>198</v>
      </c>
      <c r="Q40">
        <f>$I40+INDEX($AG$2:$BA$2,$AF$2,MATCH($C$11,$AG$1:$BA$1,0))*$M40/4+($C$12-1)*$K40</f>
        <v>102</v>
      </c>
      <c r="R40">
        <f>$J40+INDEX($AG$2:$BA$2,$AF$2,MATCH($C$11,$AG$1:$BA$1,0))*$N40/4+($C$12-1)*$L40</f>
        <v>198</v>
      </c>
      <c r="S40" t="s">
        <v>84</v>
      </c>
      <c r="X40">
        <f>ROUNDDOWN($T40+INDEX($AG$2:$BA$2,$AF$2,MATCH($C$1,$AG$1:$BA$1,0))*$U40+($C$2-1)*$V40+$W40,1)</f>
        <v>0</v>
      </c>
      <c r="Y40">
        <f t="shared" si="0"/>
        <v>0</v>
      </c>
      <c r="AD40">
        <f>ROUNDDOWN($Z40+INDEX($AG$2:$BA$2,$AF$2,MATCH($C$1,$AG$1:$BA$1,0))*$AA40+($C$2-1)*$AB40,1)</f>
        <v>0</v>
      </c>
      <c r="AE40">
        <f t="shared" si="1"/>
        <v>0</v>
      </c>
      <c r="AF40">
        <v>39</v>
      </c>
    </row>
    <row r="41" spans="8:32" ht="12.75">
      <c r="H41" s="9" t="s">
        <v>52</v>
      </c>
      <c r="I41" s="9" t="s">
        <v>50</v>
      </c>
      <c r="J41" s="9" t="s">
        <v>50</v>
      </c>
      <c r="K41" t="s">
        <v>50</v>
      </c>
      <c r="L41" t="s">
        <v>50</v>
      </c>
      <c r="M41" t="s">
        <v>117</v>
      </c>
      <c r="N41" t="s">
        <v>117</v>
      </c>
      <c r="O41" t="e">
        <f>$I41+INDEX($AG$2:$BA$2,$AF$2,MATCH($C$1,$AG$1:$BA$1,0))*$M41/4+($C$2-1)*$K41</f>
        <v>#VALUE!</v>
      </c>
      <c r="P41" t="e">
        <f>$J41+INDEX($AG$2:$BA$2,$AF$2,MATCH($C$1,$AG$1:$BA$1,0))*$N41/4+($C$2-1)*$L41</f>
        <v>#VALUE!</v>
      </c>
      <c r="Q41" t="e">
        <f>$I41+INDEX($AG$2:$BA$2,$AF$2,MATCH($C$11,$AG$1:$BA$1,0))*$M41/4+($C$12-1)*$K41</f>
        <v>#VALUE!</v>
      </c>
      <c r="R41" t="e">
        <f>$J41+INDEX($AG$2:$BA$2,$AF$2,MATCH($C$11,$AG$1:$BA$1,0))*$N41/4+($C$12-1)*$L41</f>
        <v>#VALUE!</v>
      </c>
      <c r="S41" s="9" t="s">
        <v>117</v>
      </c>
      <c r="T41" s="9" t="s">
        <v>116</v>
      </c>
      <c r="U41" s="9" t="s">
        <v>116</v>
      </c>
      <c r="V41" s="9" t="s">
        <v>116</v>
      </c>
      <c r="X41" t="e">
        <f>ROUNDDOWN($T41+INDEX($AG$2:$BA$2,$AF$2,MATCH($C$1,$AG$1:$BA$1,0))*$U41+($C$2-1)*$V41+$W41,1)</f>
        <v>#VALUE!</v>
      </c>
      <c r="Y41" t="e">
        <f t="shared" si="0"/>
        <v>#VALUE!</v>
      </c>
      <c r="Z41" s="9" t="s">
        <v>117</v>
      </c>
      <c r="AA41" t="s">
        <v>116</v>
      </c>
      <c r="AB41" t="s">
        <v>116</v>
      </c>
      <c r="AD41" t="e">
        <f>ROUNDDOWN($Z41+INDEX($AG$2:$BA$2,$AF$2,MATCH($C$1,$AG$1:$BA$1,0))*$AA41+($C$2-1)*$AB41,1)</f>
        <v>#VALUE!</v>
      </c>
      <c r="AE41" t="e">
        <f t="shared" si="1"/>
        <v>#VALUE!</v>
      </c>
      <c r="AF41">
        <v>40</v>
      </c>
    </row>
    <row r="42" spans="8:32" ht="12.75">
      <c r="H42" t="s">
        <v>45</v>
      </c>
      <c r="I42">
        <v>75</v>
      </c>
      <c r="J42">
        <v>75</v>
      </c>
      <c r="K42">
        <v>15</v>
      </c>
      <c r="L42">
        <v>15</v>
      </c>
      <c r="M42">
        <v>60</v>
      </c>
      <c r="N42">
        <v>60</v>
      </c>
      <c r="O42">
        <f>$I42+INDEX($AG$2:$BA$2,$AF$2,MATCH($C$1,$AG$1:$BA$1,0))*$M42/4+($C$2-1)*$K42</f>
        <v>75</v>
      </c>
      <c r="P42">
        <f>$J42+INDEX($AG$2:$BA$2,$AF$2,MATCH($C$1,$AG$1:$BA$1,0))*$N42/4+($C$2-1)*$L42</f>
        <v>75</v>
      </c>
      <c r="Q42">
        <f>$I42+INDEX($AG$2:$BA$2,$AF$2,MATCH($C$11,$AG$1:$BA$1,0))*$M42/4+($C$12-1)*$K42</f>
        <v>75</v>
      </c>
      <c r="R42">
        <f>$J42+INDEX($AG$2:$BA$2,$AF$2,MATCH($C$11,$AG$1:$BA$1,0))*$N42/4+($C$12-1)*$L42</f>
        <v>75</v>
      </c>
      <c r="S42" t="s">
        <v>85</v>
      </c>
      <c r="X42">
        <f>ROUNDDOWN($T42+INDEX($AG$2:$BA$2,$AF$2,MATCH($C$1,$AG$1:$BA$1,0))*$U42+($C$2-1)*$V42+$W42,1)</f>
        <v>0</v>
      </c>
      <c r="Y42">
        <f t="shared" si="0"/>
        <v>0</v>
      </c>
      <c r="AD42">
        <f>ROUNDDOWN($Z42+INDEX($AG$2:$BA$2,$AF$2,MATCH($C$1,$AG$1:$BA$1,0))*$AA42+($C$2-1)*$AB42,1)</f>
        <v>0</v>
      </c>
      <c r="AE42">
        <f t="shared" si="1"/>
        <v>0</v>
      </c>
      <c r="AF42">
        <v>41</v>
      </c>
    </row>
    <row r="43" spans="8:32" ht="12.75">
      <c r="H43" t="s">
        <v>46</v>
      </c>
      <c r="I43">
        <v>77</v>
      </c>
      <c r="J43">
        <v>73</v>
      </c>
      <c r="K43">
        <v>15</v>
      </c>
      <c r="L43">
        <v>14</v>
      </c>
      <c r="M43">
        <v>60</v>
      </c>
      <c r="N43">
        <v>56</v>
      </c>
      <c r="O43">
        <f>$I43+INDEX($AG$2:$BA$2,$AF$2,MATCH($C$1,$AG$1:$BA$1,0))*$M43/4+($C$2-1)*$K43</f>
        <v>77</v>
      </c>
      <c r="P43">
        <f>$J43+INDEX($AG$2:$BA$2,$AF$2,MATCH($C$1,$AG$1:$BA$1,0))*$N43/4+($C$2-1)*$L43</f>
        <v>73</v>
      </c>
      <c r="Q43">
        <f>$I43+INDEX($AG$2:$BA$2,$AF$2,MATCH($C$11,$AG$1:$BA$1,0))*$M43/4+($C$12-1)*$K43</f>
        <v>77</v>
      </c>
      <c r="R43">
        <f>$J43+INDEX($AG$2:$BA$2,$AF$2,MATCH($C$11,$AG$1:$BA$1,0))*$N43/4+($C$12-1)*$L43</f>
        <v>73</v>
      </c>
      <c r="S43" t="s">
        <v>86</v>
      </c>
      <c r="X43">
        <f>ROUNDDOWN($T43+INDEX($AG$2:$BA$2,$AF$2,MATCH($C$1,$AG$1:$BA$1,0))*$U43+($C$2-1)*$V43+$W43,1)</f>
        <v>0</v>
      </c>
      <c r="Y43">
        <f t="shared" si="0"/>
        <v>0</v>
      </c>
      <c r="AD43">
        <f>ROUNDDOWN($Z43+INDEX($AG$2:$BA$2,$AF$2,MATCH($C$1,$AG$1:$BA$1,0))*$AA43+($C$2-1)*$AB43,1)</f>
        <v>0</v>
      </c>
      <c r="AE43">
        <f t="shared" si="1"/>
        <v>0</v>
      </c>
      <c r="AF43">
        <v>42</v>
      </c>
    </row>
    <row r="44" spans="8:32" ht="12.75">
      <c r="H44" t="s">
        <v>47</v>
      </c>
      <c r="I44">
        <v>60</v>
      </c>
      <c r="J44">
        <v>90</v>
      </c>
      <c r="K44">
        <v>12</v>
      </c>
      <c r="L44">
        <v>18</v>
      </c>
      <c r="M44">
        <v>48</v>
      </c>
      <c r="N44">
        <v>72</v>
      </c>
      <c r="O44">
        <f>$I44+INDEX($AG$2:$BA$2,$AF$2,MATCH($C$1,$AG$1:$BA$1,0))*$M44/4+($C$2-1)*$K44</f>
        <v>60</v>
      </c>
      <c r="P44">
        <f>$J44+INDEX($AG$2:$BA$2,$AF$2,MATCH($C$1,$AG$1:$BA$1,0))*$N44/4+($C$2-1)*$L44</f>
        <v>90</v>
      </c>
      <c r="Q44">
        <f>$I44+INDEX($AG$2:$BA$2,$AF$2,MATCH($C$11,$AG$1:$BA$1,0))*$M44/4+($C$12-1)*$K44</f>
        <v>60</v>
      </c>
      <c r="R44">
        <f>$J44+INDEX($AG$2:$BA$2,$AF$2,MATCH($C$11,$AG$1:$BA$1,0))*$N44/4+($C$12-1)*$L44</f>
        <v>90</v>
      </c>
      <c r="S44" t="s">
        <v>87</v>
      </c>
      <c r="X44">
        <f>ROUNDDOWN($T44+INDEX($AG$2:$BA$2,$AF$2,MATCH($C$1,$AG$1:$BA$1,0))*$U44+($C$2-1)*$V44+$W44,1)</f>
        <v>0</v>
      </c>
      <c r="Y44">
        <f t="shared" si="0"/>
        <v>0</v>
      </c>
      <c r="AD44">
        <f>ROUNDDOWN($Z44+INDEX($AG$2:$BA$2,$AF$2,MATCH($C$1,$AG$1:$BA$1,0))*$AA44+($C$2-1)*$AB44,1)</f>
        <v>0</v>
      </c>
      <c r="AE44">
        <f t="shared" si="1"/>
        <v>0</v>
      </c>
      <c r="AF44">
        <v>43</v>
      </c>
    </row>
    <row r="45" ht="12.75">
      <c r="AF45">
        <v>44</v>
      </c>
    </row>
    <row r="46" ht="12.75">
      <c r="AF46">
        <v>45</v>
      </c>
    </row>
    <row r="47" ht="12.75">
      <c r="AF47">
        <v>46</v>
      </c>
    </row>
    <row r="48" ht="12.75">
      <c r="AF48">
        <v>47</v>
      </c>
    </row>
    <row r="49" ht="12.75">
      <c r="AF49">
        <v>48</v>
      </c>
    </row>
    <row r="50" ht="12.75">
      <c r="AF50">
        <v>49</v>
      </c>
    </row>
    <row r="51" ht="12.75">
      <c r="AF51">
        <v>50</v>
      </c>
    </row>
    <row r="52" ht="12.75">
      <c r="AF52">
        <v>51</v>
      </c>
    </row>
    <row r="53" ht="12.75">
      <c r="AF53">
        <v>52</v>
      </c>
    </row>
    <row r="54" ht="12.75">
      <c r="AF54">
        <v>53</v>
      </c>
    </row>
    <row r="55" ht="12.75">
      <c r="AF55">
        <v>54</v>
      </c>
    </row>
    <row r="56" ht="12.75">
      <c r="AF56">
        <v>55</v>
      </c>
    </row>
    <row r="57" ht="12.75">
      <c r="AF57">
        <v>56</v>
      </c>
    </row>
    <row r="58" ht="12.75">
      <c r="AF58">
        <v>57</v>
      </c>
    </row>
    <row r="59" ht="12.75">
      <c r="AF59">
        <v>58</v>
      </c>
    </row>
    <row r="60" ht="12.75">
      <c r="AF60">
        <v>59</v>
      </c>
    </row>
    <row r="61" ht="12.75">
      <c r="AF61">
        <v>60</v>
      </c>
    </row>
    <row r="62" ht="12.75">
      <c r="AF62">
        <v>61</v>
      </c>
    </row>
    <row r="63" ht="12.75">
      <c r="AF63">
        <v>62</v>
      </c>
    </row>
    <row r="64" ht="12.75">
      <c r="AF64">
        <v>63</v>
      </c>
    </row>
    <row r="65" ht="12.75">
      <c r="AF65">
        <v>64</v>
      </c>
    </row>
    <row r="66" ht="12.75">
      <c r="AF66">
        <v>65</v>
      </c>
    </row>
    <row r="67" ht="12.75">
      <c r="AF67">
        <v>66</v>
      </c>
    </row>
    <row r="68" ht="12.75">
      <c r="AF68">
        <v>67</v>
      </c>
    </row>
    <row r="69" ht="12.75">
      <c r="AF69">
        <v>68</v>
      </c>
    </row>
    <row r="70" ht="12.75">
      <c r="AF70">
        <v>69</v>
      </c>
    </row>
    <row r="71" ht="12.75">
      <c r="AF71">
        <v>70</v>
      </c>
    </row>
    <row r="72" ht="12.75">
      <c r="AF72">
        <v>71</v>
      </c>
    </row>
    <row r="73" ht="12.75">
      <c r="AF73">
        <v>72</v>
      </c>
    </row>
    <row r="74" ht="12.75">
      <c r="AF74">
        <v>73</v>
      </c>
    </row>
    <row r="75" ht="12.75">
      <c r="AF75">
        <v>74</v>
      </c>
    </row>
    <row r="76" ht="12.75">
      <c r="AF76">
        <v>75</v>
      </c>
    </row>
    <row r="77" ht="12.75">
      <c r="AF77">
        <v>76</v>
      </c>
    </row>
    <row r="78" ht="12.75">
      <c r="AF78">
        <v>77</v>
      </c>
    </row>
    <row r="79" ht="12.75">
      <c r="AF79">
        <v>78</v>
      </c>
    </row>
    <row r="80" ht="12.75">
      <c r="AF80">
        <v>79</v>
      </c>
    </row>
    <row r="81" ht="12.75">
      <c r="AF81">
        <v>80</v>
      </c>
    </row>
    <row r="82" ht="12.75">
      <c r="AF82">
        <v>81</v>
      </c>
    </row>
    <row r="83" ht="12.75">
      <c r="AF83">
        <v>82</v>
      </c>
    </row>
    <row r="84" ht="12.75">
      <c r="AF84">
        <v>83</v>
      </c>
    </row>
    <row r="85" ht="12.75">
      <c r="AF85">
        <v>84</v>
      </c>
    </row>
    <row r="86" ht="12.75">
      <c r="AF86">
        <v>85</v>
      </c>
    </row>
    <row r="87" ht="12.75">
      <c r="AF87">
        <v>86</v>
      </c>
    </row>
    <row r="88" ht="12.75">
      <c r="AF88">
        <v>87</v>
      </c>
    </row>
    <row r="89" ht="12.75">
      <c r="AF89">
        <v>88</v>
      </c>
    </row>
    <row r="90" ht="12.75">
      <c r="AF90">
        <v>89</v>
      </c>
    </row>
    <row r="91" ht="12.75">
      <c r="AF91">
        <v>90</v>
      </c>
    </row>
    <row r="92" ht="12.75">
      <c r="AF92">
        <v>91</v>
      </c>
    </row>
    <row r="93" ht="12.75">
      <c r="AF93">
        <v>92</v>
      </c>
    </row>
    <row r="94" ht="12.75">
      <c r="AF94">
        <v>93</v>
      </c>
    </row>
    <row r="95" ht="12.75">
      <c r="AF95">
        <v>94</v>
      </c>
    </row>
    <row r="96" ht="12.75">
      <c r="AF96">
        <v>95</v>
      </c>
    </row>
    <row r="97" ht="12.75">
      <c r="AF97">
        <v>96</v>
      </c>
    </row>
    <row r="98" ht="12.75">
      <c r="AF98">
        <v>97</v>
      </c>
    </row>
    <row r="99" ht="12.75">
      <c r="AF99">
        <v>98</v>
      </c>
    </row>
    <row r="100" ht="12.75">
      <c r="AF100">
        <v>99</v>
      </c>
    </row>
    <row r="101" ht="12.75">
      <c r="AF101">
        <v>100</v>
      </c>
    </row>
    <row r="102" ht="12.75">
      <c r="AF102">
        <v>101</v>
      </c>
    </row>
    <row r="103" ht="12.75">
      <c r="AF103">
        <v>102</v>
      </c>
    </row>
    <row r="104" ht="12.75">
      <c r="AF104">
        <v>103</v>
      </c>
    </row>
    <row r="105" ht="12.75">
      <c r="AF105">
        <v>104</v>
      </c>
    </row>
    <row r="106" ht="12.75">
      <c r="AF106">
        <v>105</v>
      </c>
    </row>
    <row r="107" ht="12.75">
      <c r="AF107">
        <v>106</v>
      </c>
    </row>
    <row r="108" ht="12.75">
      <c r="AF108">
        <v>107</v>
      </c>
    </row>
    <row r="109" ht="12.75">
      <c r="AF109">
        <v>108</v>
      </c>
    </row>
    <row r="110" ht="12.75">
      <c r="AF110">
        <v>109</v>
      </c>
    </row>
    <row r="111" ht="12.75">
      <c r="AF111">
        <v>110</v>
      </c>
    </row>
    <row r="112" ht="12.75">
      <c r="AF112">
        <v>111</v>
      </c>
    </row>
    <row r="113" ht="12.75">
      <c r="AF113">
        <v>112</v>
      </c>
    </row>
    <row r="114" ht="12.75">
      <c r="AF114">
        <v>113</v>
      </c>
    </row>
    <row r="115" ht="12.75">
      <c r="AF115">
        <v>114</v>
      </c>
    </row>
    <row r="116" ht="12.75">
      <c r="AF116">
        <v>115</v>
      </c>
    </row>
    <row r="117" ht="12.75">
      <c r="AF117">
        <v>116</v>
      </c>
    </row>
    <row r="118" ht="12.75">
      <c r="AF118">
        <v>117</v>
      </c>
    </row>
    <row r="119" ht="12.75">
      <c r="AF119">
        <v>118</v>
      </c>
    </row>
    <row r="120" ht="12.75">
      <c r="AF120">
        <v>119</v>
      </c>
    </row>
    <row r="121" ht="12.75">
      <c r="AF121">
        <v>120</v>
      </c>
    </row>
  </sheetData>
  <mergeCells count="13">
    <mergeCell ref="C8:D8"/>
    <mergeCell ref="C9:D9"/>
    <mergeCell ref="C11:D11"/>
    <mergeCell ref="C12:D12"/>
    <mergeCell ref="C13:D13"/>
    <mergeCell ref="C14:D14"/>
    <mergeCell ref="E1:F2"/>
    <mergeCell ref="E11:F12"/>
    <mergeCell ref="C1:D1"/>
    <mergeCell ref="C2:D2"/>
    <mergeCell ref="C3:D3"/>
    <mergeCell ref="C4:D4"/>
    <mergeCell ref="C7:D7"/>
  </mergeCells>
  <dataValidations count="3">
    <dataValidation type="list" allowBlank="1" showInputMessage="1" showErrorMessage="1" sqref="C12 C2">
      <formula1>$AF$2:$AF$121</formula1>
    </dataValidation>
    <dataValidation type="list" allowBlank="1" showInputMessage="1" showErrorMessage="1" sqref="C11 C1">
      <formula1>$AG$1:$BA$1</formula1>
    </dataValidation>
    <dataValidation type="list" allowBlank="1" showInputMessage="1" showErrorMessage="1" sqref="A11 A1">
      <formula1>$H$1:$H$44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"/>
    </sheetView>
  </sheetViews>
  <sheetFormatPr defaultColWidth="9.00390625" defaultRowHeight="13.5"/>
  <cols>
    <col min="1" max="1" width="11.75390625" style="0" customWidth="1"/>
  </cols>
  <sheetData>
    <row r="1" ht="12.75">
      <c r="A1" t="s">
        <v>114</v>
      </c>
    </row>
    <row r="2" spans="1:2" ht="12.75">
      <c r="A2" t="s">
        <v>111</v>
      </c>
      <c r="B2" t="s">
        <v>112</v>
      </c>
    </row>
    <row r="4" ht="12.75">
      <c r="A4" t="s">
        <v>118</v>
      </c>
    </row>
    <row r="5" spans="1:2" ht="12.75">
      <c r="A5" t="s">
        <v>119</v>
      </c>
      <c r="B5" t="s">
        <v>120</v>
      </c>
    </row>
    <row r="7" spans="1:3" ht="12.75">
      <c r="A7" t="s">
        <v>138</v>
      </c>
      <c r="B7" t="s">
        <v>139</v>
      </c>
      <c r="C7" t="s">
        <v>131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9.00390625" defaultRowHeight="13.5"/>
  <sheetData>
    <row r="1" ht="12.75">
      <c r="A1" t="s">
        <v>53</v>
      </c>
    </row>
    <row r="2" spans="1:2" ht="12.75">
      <c r="A2" t="s">
        <v>54</v>
      </c>
      <c r="B2" t="s">
        <v>55</v>
      </c>
    </row>
    <row r="3" spans="1:2" ht="12.75">
      <c r="A3" t="s">
        <v>56</v>
      </c>
      <c r="B3" t="s">
        <v>64</v>
      </c>
    </row>
    <row r="4" spans="1:2" ht="12.75">
      <c r="A4" t="s">
        <v>66</v>
      </c>
      <c r="B4" t="s">
        <v>68</v>
      </c>
    </row>
    <row r="5" spans="1:2" ht="12.75">
      <c r="A5" t="s">
        <v>97</v>
      </c>
      <c r="B5" t="s">
        <v>129</v>
      </c>
    </row>
    <row r="6" spans="1:2" ht="12.75">
      <c r="A6" t="s">
        <v>101</v>
      </c>
      <c r="B6" t="s">
        <v>102</v>
      </c>
    </row>
    <row r="7" spans="1:2" ht="12.75">
      <c r="A7" t="s">
        <v>103</v>
      </c>
      <c r="B7" t="s">
        <v>115</v>
      </c>
    </row>
    <row r="8" spans="1:2" ht="12.75">
      <c r="A8" t="s">
        <v>121</v>
      </c>
      <c r="B8" t="s">
        <v>127</v>
      </c>
    </row>
    <row r="9" spans="1:2" ht="12.75">
      <c r="A9" t="s">
        <v>124</v>
      </c>
      <c r="B9" t="s">
        <v>128</v>
      </c>
    </row>
    <row r="10" spans="1:2" ht="12.75">
      <c r="A10" t="s">
        <v>130</v>
      </c>
      <c r="B10" t="s">
        <v>136</v>
      </c>
    </row>
    <row r="11" spans="1:2" ht="12.75">
      <c r="A11" t="s">
        <v>137</v>
      </c>
      <c r="B11" t="s">
        <v>147</v>
      </c>
    </row>
    <row r="12" spans="1:2" ht="12.75">
      <c r="A12" t="s">
        <v>146</v>
      </c>
      <c r="B12" t="s">
        <v>155</v>
      </c>
    </row>
    <row r="13" spans="1:2" ht="12.75">
      <c r="A13" t="s">
        <v>156</v>
      </c>
      <c r="B13" t="s">
        <v>165</v>
      </c>
    </row>
    <row r="14" spans="1:2" ht="12.75">
      <c r="A14" t="s">
        <v>163</v>
      </c>
      <c r="B14" t="s">
        <v>164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fortuna</dc:creator>
  <cp:keywords/>
  <dc:description/>
  <cp:lastModifiedBy>fortuna</cp:lastModifiedBy>
  <dcterms:created xsi:type="dcterms:W3CDTF">2020-03-20T14:59:02Z</dcterms:created>
  <dcterms:modified xsi:type="dcterms:W3CDTF">2020-10-02T14:46:51Z</dcterms:modified>
  <cp:category/>
  <cp:version/>
  <cp:contentType/>
  <cp:contentStatus/>
</cp:coreProperties>
</file>