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xr:revisionPtr revIDLastSave="835" documentId="8_{021874FC-1932-C64A-B1DC-667941FE6785}" xr6:coauthVersionLast="45" xr6:coauthVersionMax="45" xr10:uidLastSave="{A529F6DE-FC1E-7747-82D9-871227921903}"/>
  <bookViews>
    <workbookView xWindow="240" yWindow="105" windowWidth="14805" windowHeight="8010" xr2:uid="{00000000-000D-0000-FFFF-FFFF00000000}"/>
  </bookViews>
  <sheets>
    <sheet name="陸軍版戦争シミュレータ" sheetId="42" r:id="rId1"/>
    <sheet name="陸軍英雄のデータ " sheetId="46" r:id="rId2"/>
    <sheet name="海軍英雄のデータ" sheetId="43" r:id="rId3"/>
    <sheet name="海軍版戦争シミュレータ " sheetId="4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45" l="1"/>
  <c r="C37" i="45"/>
  <c r="C47" i="45"/>
  <c r="C5" i="45"/>
  <c r="C15" i="42"/>
  <c r="C37" i="42"/>
  <c r="C47" i="42"/>
  <c r="C5" i="42"/>
  <c r="G6" i="42"/>
  <c r="E5" i="42"/>
  <c r="G38" i="42"/>
  <c r="D37" i="42"/>
  <c r="A25" i="45"/>
  <c r="E37" i="45"/>
  <c r="A57" i="45"/>
  <c r="E5" i="45"/>
  <c r="E37" i="42"/>
  <c r="A25" i="42"/>
  <c r="G25" i="42"/>
  <c r="A57" i="42"/>
  <c r="K25" i="42"/>
  <c r="L25" i="42"/>
  <c r="M25" i="42"/>
  <c r="N25" i="42"/>
  <c r="O25" i="42"/>
  <c r="P25" i="42"/>
  <c r="Q25" i="42"/>
  <c r="R25" i="42"/>
  <c r="D25" i="42"/>
  <c r="E25" i="42"/>
  <c r="F25" i="42"/>
  <c r="H25" i="42"/>
  <c r="I25" i="42"/>
  <c r="J25" i="42"/>
  <c r="D26" i="42"/>
  <c r="E47" i="42"/>
  <c r="F47" i="42"/>
  <c r="G47" i="42"/>
  <c r="H47" i="42"/>
  <c r="I47" i="42"/>
  <c r="J47" i="42"/>
  <c r="K47" i="42"/>
  <c r="E48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O38" i="42"/>
  <c r="I37" i="42"/>
  <c r="H37" i="42"/>
  <c r="J37" i="42"/>
  <c r="K37" i="42"/>
  <c r="L37" i="42"/>
  <c r="M37" i="42"/>
  <c r="N37" i="42"/>
  <c r="H38" i="42"/>
  <c r="E15" i="42"/>
  <c r="F15" i="42"/>
  <c r="G15" i="42"/>
  <c r="H15" i="42"/>
  <c r="I15" i="42"/>
  <c r="J15" i="42"/>
  <c r="K15" i="42"/>
  <c r="E16" i="42"/>
  <c r="P5" i="42"/>
  <c r="O5" i="42"/>
  <c r="Q5" i="42"/>
  <c r="R5" i="42"/>
  <c r="S5" i="42"/>
  <c r="T5" i="42"/>
  <c r="U5" i="42"/>
  <c r="V5" i="42"/>
  <c r="W5" i="42"/>
  <c r="X5" i="42"/>
  <c r="Y5" i="42"/>
  <c r="Z5" i="42"/>
  <c r="O6" i="42"/>
  <c r="Q57" i="42"/>
  <c r="P57" i="42"/>
  <c r="O57" i="42"/>
  <c r="N57" i="42"/>
  <c r="M57" i="42"/>
  <c r="J57" i="42"/>
  <c r="I57" i="42"/>
  <c r="H57" i="42"/>
  <c r="G57" i="42"/>
  <c r="F57" i="42"/>
  <c r="K57" i="42"/>
  <c r="L57" i="42"/>
  <c r="R57" i="42"/>
  <c r="D57" i="42"/>
  <c r="E57" i="42"/>
  <c r="D58" i="42"/>
  <c r="Z37" i="45"/>
  <c r="Y37" i="45"/>
  <c r="X37" i="45"/>
  <c r="W37" i="45"/>
  <c r="N37" i="45"/>
  <c r="M37" i="45"/>
  <c r="L37" i="45"/>
  <c r="H5" i="42"/>
  <c r="I5" i="42"/>
  <c r="J5" i="42"/>
  <c r="K5" i="42"/>
  <c r="L5" i="42"/>
  <c r="M5" i="42"/>
  <c r="N5" i="42"/>
  <c r="H6" i="42"/>
  <c r="O37" i="45"/>
  <c r="P37" i="45"/>
  <c r="Q37" i="45"/>
  <c r="R37" i="45"/>
  <c r="S37" i="45"/>
  <c r="T37" i="45"/>
  <c r="U37" i="45"/>
  <c r="V37" i="45"/>
  <c r="O38" i="45"/>
  <c r="W5" i="45"/>
  <c r="X5" i="45"/>
  <c r="Y5" i="45"/>
  <c r="Z5" i="45"/>
  <c r="O5" i="45"/>
  <c r="P5" i="45"/>
  <c r="Q5" i="45"/>
  <c r="R5" i="45"/>
  <c r="S5" i="45"/>
  <c r="T5" i="45"/>
  <c r="U5" i="45"/>
  <c r="V5" i="45"/>
  <c r="O6" i="45"/>
  <c r="H37" i="45"/>
  <c r="I37" i="45"/>
  <c r="J37" i="45"/>
  <c r="K37" i="45"/>
  <c r="H38" i="45"/>
  <c r="H5" i="45"/>
  <c r="I5" i="45"/>
  <c r="J5" i="45"/>
  <c r="K5" i="45"/>
  <c r="L5" i="45"/>
  <c r="M5" i="45"/>
  <c r="N5" i="45"/>
  <c r="H6" i="45"/>
  <c r="D25" i="45"/>
  <c r="E25" i="45"/>
  <c r="F25" i="45"/>
  <c r="G25" i="45"/>
  <c r="H25" i="45"/>
  <c r="I25" i="45"/>
  <c r="J25" i="45"/>
  <c r="D26" i="45"/>
  <c r="K25" i="45"/>
  <c r="L25" i="45"/>
  <c r="M25" i="45"/>
  <c r="N25" i="45"/>
  <c r="O25" i="45"/>
  <c r="P25" i="45"/>
  <c r="Q25" i="45"/>
  <c r="R25" i="45"/>
  <c r="E15" i="45"/>
  <c r="F15" i="45"/>
  <c r="G15" i="45"/>
  <c r="H15" i="45"/>
  <c r="I15" i="45"/>
  <c r="J15" i="45"/>
  <c r="E16" i="45"/>
  <c r="K15" i="45"/>
  <c r="D57" i="45"/>
  <c r="E57" i="45"/>
  <c r="F57" i="45"/>
  <c r="G57" i="45"/>
  <c r="H57" i="45"/>
  <c r="I57" i="45"/>
  <c r="J57" i="45"/>
  <c r="D58" i="45"/>
  <c r="G47" i="45"/>
  <c r="E47" i="45"/>
  <c r="F47" i="45"/>
  <c r="H47" i="45"/>
  <c r="I47" i="45"/>
  <c r="J47" i="45"/>
  <c r="K47" i="45"/>
  <c r="E48" i="45"/>
  <c r="K57" i="45"/>
  <c r="L57" i="45"/>
  <c r="M57" i="45"/>
  <c r="N57" i="45"/>
  <c r="O57" i="45"/>
  <c r="P57" i="45"/>
  <c r="Q57" i="45"/>
  <c r="R57" i="45"/>
  <c r="B15" i="45"/>
  <c r="B5" i="45"/>
  <c r="B15" i="42"/>
  <c r="B37" i="42"/>
  <c r="B5" i="42"/>
  <c r="C3" i="43"/>
  <c r="C25" i="42"/>
  <c r="C5" i="43"/>
  <c r="C7" i="43"/>
  <c r="D7" i="43"/>
  <c r="D7" i="46"/>
  <c r="C7" i="46"/>
  <c r="D4" i="46"/>
  <c r="C4" i="46"/>
  <c r="B57" i="45"/>
  <c r="A58" i="45"/>
  <c r="B25" i="45"/>
  <c r="A26" i="45"/>
  <c r="B25" i="42"/>
  <c r="A26" i="42"/>
  <c r="B57" i="42"/>
  <c r="A58" i="42"/>
  <c r="B6" i="45"/>
  <c r="A6" i="45"/>
  <c r="D5" i="45"/>
  <c r="C6" i="45"/>
  <c r="F5" i="45"/>
  <c r="E6" i="45"/>
  <c r="G6" i="45"/>
  <c r="B9" i="45"/>
  <c r="C9" i="45"/>
  <c r="C10" i="45"/>
  <c r="B37" i="45"/>
  <c r="B38" i="45"/>
  <c r="A38" i="45"/>
  <c r="D37" i="45"/>
  <c r="C38" i="45"/>
  <c r="F37" i="45"/>
  <c r="E38" i="45"/>
  <c r="G38" i="45"/>
  <c r="B41" i="45"/>
  <c r="B42" i="45"/>
  <c r="C57" i="45"/>
  <c r="C58" i="45"/>
  <c r="B62" i="45"/>
  <c r="H2" i="43"/>
  <c r="G2" i="43"/>
  <c r="H5" i="43"/>
  <c r="G5" i="43"/>
  <c r="H3" i="43"/>
  <c r="G3" i="43"/>
  <c r="H9" i="43"/>
  <c r="G9" i="43"/>
  <c r="C25" i="45"/>
  <c r="C26" i="45"/>
  <c r="B29" i="45"/>
  <c r="A48" i="45"/>
  <c r="D47" i="45"/>
  <c r="C48" i="45"/>
  <c r="B51" i="45"/>
  <c r="B47" i="45"/>
  <c r="B48" i="45"/>
  <c r="B52" i="45"/>
  <c r="B53" i="45"/>
  <c r="C41" i="45"/>
  <c r="C42" i="45"/>
  <c r="C43" i="45"/>
  <c r="C63" i="45"/>
  <c r="D64" i="45"/>
  <c r="D63" i="45"/>
  <c r="C62" i="45"/>
  <c r="D62" i="45"/>
  <c r="C61" i="45"/>
  <c r="D61" i="45"/>
  <c r="B61" i="45"/>
  <c r="E41" i="45"/>
  <c r="D41" i="45"/>
  <c r="A16" i="45"/>
  <c r="D15" i="45"/>
  <c r="C16" i="45"/>
  <c r="B19" i="45"/>
  <c r="B16" i="45"/>
  <c r="B20" i="45"/>
  <c r="B21" i="45"/>
  <c r="C11" i="45"/>
  <c r="C31" i="45"/>
  <c r="D32" i="45"/>
  <c r="D31" i="45"/>
  <c r="C30" i="45"/>
  <c r="D30" i="45"/>
  <c r="B10" i="45"/>
  <c r="B30" i="45"/>
  <c r="C29" i="45"/>
  <c r="D29" i="45"/>
  <c r="E9" i="45"/>
  <c r="D9" i="45"/>
  <c r="C38" i="42"/>
  <c r="F37" i="42"/>
  <c r="E38" i="42"/>
  <c r="B38" i="42"/>
  <c r="A38" i="42"/>
  <c r="B41" i="42"/>
  <c r="B42" i="42"/>
  <c r="F5" i="42"/>
  <c r="D15" i="42"/>
  <c r="D5" i="42"/>
  <c r="D47" i="42"/>
  <c r="C16" i="42"/>
  <c r="C57" i="42"/>
  <c r="C48" i="42"/>
  <c r="E6" i="42"/>
  <c r="C6" i="42"/>
  <c r="B6" i="42"/>
  <c r="A6" i="42"/>
  <c r="B9" i="42"/>
  <c r="C9" i="42"/>
  <c r="B10" i="42"/>
  <c r="C58" i="42"/>
  <c r="A48" i="42"/>
  <c r="B51" i="42"/>
  <c r="B47" i="42"/>
  <c r="B48" i="42"/>
  <c r="B52" i="42"/>
  <c r="B53" i="42"/>
  <c r="C26" i="42"/>
  <c r="A16" i="42"/>
  <c r="B19" i="42"/>
  <c r="B16" i="42"/>
  <c r="B20" i="42"/>
  <c r="B21" i="42"/>
  <c r="C41" i="42"/>
  <c r="D9" i="42"/>
  <c r="C10" i="42"/>
  <c r="C30" i="42"/>
  <c r="D30" i="42"/>
  <c r="B30" i="42"/>
  <c r="D41" i="42"/>
  <c r="B61" i="42"/>
  <c r="B29" i="42"/>
  <c r="C42" i="42"/>
  <c r="C62" i="42"/>
  <c r="D62" i="42"/>
  <c r="B62" i="42"/>
  <c r="C61" i="42"/>
  <c r="D61" i="42"/>
  <c r="C29" i="42"/>
  <c r="D29" i="42"/>
  <c r="C43" i="42"/>
  <c r="C63" i="42"/>
  <c r="C11" i="42"/>
  <c r="C31" i="42"/>
  <c r="E41" i="42"/>
  <c r="E9" i="42"/>
  <c r="D31" i="42"/>
  <c r="D32" i="42"/>
  <c r="D63" i="42"/>
  <c r="D64" i="42"/>
</calcChain>
</file>

<file path=xl/sharedStrings.xml><?xml version="1.0" encoding="utf-8"?>
<sst xmlns="http://schemas.openxmlformats.org/spreadsheetml/2006/main" count="689" uniqueCount="162">
  <si>
    <t>■与ダメ計算式(自)</t>
  </si>
  <si>
    <t>素ダメ</t>
  </si>
  <si>
    <t>全種攻撃</t>
  </si>
  <si>
    <t>英雄スキル</t>
  </si>
  <si>
    <t>強化部品</t>
  </si>
  <si>
    <t>兵種相性</t>
  </si>
  <si>
    <t>英雄天賦</t>
  </si>
  <si>
    <t>職業天賦</t>
  </si>
  <si>
    <t>連盟科学</t>
  </si>
  <si>
    <t>全種ダメ増</t>
  </si>
  <si>
    <t>兵種ダメ増</t>
  </si>
  <si>
    <t>攻撃対象</t>
  </si>
  <si>
    <t>ハンク系</t>
  </si>
  <si>
    <t>対象数</t>
  </si>
  <si>
    <t>確率</t>
  </si>
  <si>
    <t>理論値</t>
  </si>
  <si>
    <t>期待値</t>
  </si>
  <si>
    <t>期待値2</t>
  </si>
  <si>
    <t>BOSSダメ</t>
  </si>
  <si>
    <t>通常</t>
  </si>
  <si>
    <t>追加</t>
  </si>
  <si>
    <t>レベル</t>
  </si>
  <si>
    <t>素HP</t>
  </si>
  <si>
    <t>全種生命</t>
  </si>
  <si>
    <t>総合</t>
  </si>
  <si>
    <t>-</t>
  </si>
  <si>
    <t>Lv80</t>
  </si>
  <si>
    <t>Lv81</t>
  </si>
  <si>
    <t>■生命計算式(敵)</t>
  </si>
  <si>
    <t>Lv82</t>
  </si>
  <si>
    <t>兵種生命</t>
  </si>
  <si>
    <t>ポーラ系</t>
  </si>
  <si>
    <t>エリート</t>
  </si>
  <si>
    <t>スキル値</t>
  </si>
  <si>
    <t>部隊攻撃</t>
  </si>
  <si>
    <t>部隊生命</t>
  </si>
  <si>
    <t>兵種攻撃</t>
  </si>
  <si>
    <t>ハンク</t>
  </si>
  <si>
    <t>ベアトリス</t>
  </si>
  <si>
    <t>ユニット</t>
  </si>
  <si>
    <t>ゴジコ</t>
  </si>
  <si>
    <t>スタック</t>
  </si>
  <si>
    <t>コーデリア</t>
  </si>
  <si>
    <t>ライン</t>
  </si>
  <si>
    <t>■被ダメ計算式(敵)</t>
  </si>
  <si>
    <t>全種ダメ減</t>
  </si>
  <si>
    <t>兵種ダメ減</t>
  </si>
  <si>
    <t>メリル系</t>
  </si>
  <si>
    <t>被害数</t>
  </si>
  <si>
    <t>敵が全滅するまで</t>
  </si>
  <si>
    <t>ターン</t>
  </si>
  <si>
    <t>■被ダメ計算式(自)</t>
  </si>
  <si>
    <t>自分が全滅するまで</t>
  </si>
  <si>
    <t>■与ダメ計算式(敵)</t>
    <rPh sb="8" eb="9">
      <t>テキ</t>
    </rPh>
    <phoneticPr fontId="4"/>
  </si>
  <si>
    <t>■生命計算式(自)</t>
    <rPh sb="7" eb="8">
      <t>ジ</t>
    </rPh>
    <phoneticPr fontId="4"/>
  </si>
  <si>
    <t>エリン</t>
    <phoneticPr fontId="4"/>
  </si>
  <si>
    <t>ラグノ</t>
    <phoneticPr fontId="4"/>
  </si>
  <si>
    <t>部隊攻撃</t>
    <phoneticPr fontId="4"/>
  </si>
  <si>
    <t>部隊生命</t>
    <phoneticPr fontId="4"/>
  </si>
  <si>
    <t>ポーラ</t>
    <phoneticPr fontId="4"/>
  </si>
  <si>
    <t>美琴ダメ増</t>
    <rPh sb="0" eb="2">
      <t>ミコト</t>
    </rPh>
    <rPh sb="4" eb="5">
      <t>ゾウ</t>
    </rPh>
    <phoneticPr fontId="4"/>
  </si>
  <si>
    <t>美琴失敗</t>
    <rPh sb="0" eb="2">
      <t>ミコト</t>
    </rPh>
    <rPh sb="2" eb="4">
      <t>シッパイ</t>
    </rPh>
    <phoneticPr fontId="4"/>
  </si>
  <si>
    <t>戦争シミュレータ サイゴウ版</t>
  </si>
  <si>
    <t>全兵種攻撃</t>
  </si>
  <si>
    <t>海軍英雄</t>
  </si>
  <si>
    <t>陸軍英雄</t>
  </si>
  <si>
    <t>めぐみん</t>
  </si>
  <si>
    <t>装飾物</t>
  </si>
  <si>
    <t>強化/弱体化施設</t>
  </si>
  <si>
    <t>連盟バッジ</t>
  </si>
  <si>
    <t>戦術マスター</t>
  </si>
  <si>
    <t>サイエンティスト</t>
  </si>
  <si>
    <t>その他ボーナス</t>
  </si>
  <si>
    <t>都市攻撃</t>
  </si>
  <si>
    <t>VIP特典</t>
  </si>
  <si>
    <t>メカニックアイテム</t>
  </si>
  <si>
    <t>全兵種生命</t>
  </si>
  <si>
    <t>陸軍攻撃</t>
  </si>
  <si>
    <t>陸軍生命</t>
  </si>
  <si>
    <t>研究開発</t>
  </si>
  <si>
    <t>自軍</t>
  </si>
  <si>
    <t>部隊攻撃2</t>
  </si>
  <si>
    <t>部隊攻撃3</t>
  </si>
  <si>
    <t>部隊生命2</t>
  </si>
  <si>
    <t>部隊生命3</t>
  </si>
  <si>
    <t>陸軍ダメ増</t>
  </si>
  <si>
    <t>略奪都市補正</t>
  </si>
  <si>
    <t>全兵種ダメ増</t>
  </si>
  <si>
    <t>全兵種ダメ減</t>
  </si>
  <si>
    <t>陸軍ダメ減</t>
  </si>
  <si>
    <t>要塞内攻撃・生命</t>
  </si>
  <si>
    <t>敵軍</t>
  </si>
  <si>
    <t>ハンク系スキル</t>
  </si>
  <si>
    <t>ハンク系の専用</t>
  </si>
  <si>
    <t>ハンク系スキル2</t>
  </si>
  <si>
    <t>ハンク系の専用2</t>
  </si>
  <si>
    <t>確率スキル</t>
  </si>
  <si>
    <t>確率専用</t>
  </si>
  <si>
    <t>確率スキル2</t>
  </si>
  <si>
    <t>確率専用2</t>
  </si>
  <si>
    <t>ポーラ系スキル</t>
  </si>
  <si>
    <t>ポーラ系専用</t>
  </si>
  <si>
    <t>メリル系スキル</t>
  </si>
  <si>
    <t>メリル系専用</t>
  </si>
  <si>
    <t>スキル</t>
  </si>
  <si>
    <t>対象数2</t>
  </si>
  <si>
    <t>確率2</t>
  </si>
  <si>
    <t>マーテル系スキル</t>
  </si>
  <si>
    <t>マーテル系専用</t>
  </si>
  <si>
    <t>ハンク系2</t>
  </si>
  <si>
    <t>ハンク系専用2</t>
  </si>
  <si>
    <t>ハンク系専用</t>
  </si>
  <si>
    <t>マーテルダメ増</t>
  </si>
  <si>
    <t>マーテルダメ減</t>
  </si>
  <si>
    <t>マーテル系</t>
  </si>
  <si>
    <t>海軍攻撃</t>
  </si>
  <si>
    <t>海軍ダメ増</t>
  </si>
  <si>
    <t>海軍生命</t>
  </si>
  <si>
    <t>海軍ダメ減</t>
  </si>
  <si>
    <t>出撃数</t>
  </si>
  <si>
    <t>出撃数の平均値</t>
  </si>
  <si>
    <t>古代進</t>
  </si>
  <si>
    <t>出撃補正</t>
  </si>
  <si>
    <t>撫子スキル攻撃</t>
  </si>
  <si>
    <t>撫子ダメ減</t>
  </si>
  <si>
    <t>マーテル総合値</t>
  </si>
  <si>
    <t>陸軍英雄大元帥</t>
  </si>
  <si>
    <t>海軍英雄大元帥</t>
  </si>
  <si>
    <t>80、81、82、エリートユニットの計算式は素ダメと素HPを変更して計算してください。</t>
  </si>
  <si>
    <t>ハンク系スキル3</t>
  </si>
  <si>
    <t>ハンク系の専用3</t>
  </si>
  <si>
    <t>ハンク系3</t>
  </si>
  <si>
    <t>ハンク系専用3</t>
  </si>
  <si>
    <t>確率スキル3</t>
  </si>
  <si>
    <t>対象3</t>
  </si>
  <si>
    <t>確率3</t>
  </si>
  <si>
    <t>確率専用3</t>
  </si>
  <si>
    <t>ポーラ系2</t>
  </si>
  <si>
    <t>ポーラ系専用2</t>
  </si>
  <si>
    <t>ポーラ系3</t>
  </si>
  <si>
    <t>ポーラ系専用3</t>
  </si>
  <si>
    <t>ハンク系部品</t>
  </si>
  <si>
    <t>ポーラ系部品</t>
  </si>
  <si>
    <t>ポーラ系スキル2</t>
  </si>
  <si>
    <t>ポーラ系スキル3</t>
  </si>
  <si>
    <t>マーテル系2</t>
  </si>
  <si>
    <t>マーテル系専用2</t>
  </si>
  <si>
    <t>マーテル系3</t>
  </si>
  <si>
    <t>マーテル系専用3</t>
  </si>
  <si>
    <t>マーテル系部品</t>
  </si>
  <si>
    <t>マーテル系スキル2</t>
  </si>
  <si>
    <t>マーテル系スキル3</t>
  </si>
  <si>
    <t>メリル系2</t>
  </si>
  <si>
    <t>メリル系専用2</t>
  </si>
  <si>
    <t>メリル系3</t>
  </si>
  <si>
    <t>メリル系専用3</t>
  </si>
  <si>
    <t>メリル系部品</t>
  </si>
  <si>
    <t>メリル系スキル2</t>
  </si>
  <si>
    <t>メリル系スキル3</t>
  </si>
  <si>
    <t>対象数3</t>
  </si>
  <si>
    <t>基地防衛時効果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</si>
</sst>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.00_);[Red]\(0.00\)"/>
    <numFmt numFmtId="178" formatCode="0.000_);[Red]\(0.000\)"/>
    <numFmt numFmtId="179" formatCode="0.0000_);[Red]\(0.0000\)"/>
    <numFmt numFmtId="180" formatCode="0.000"/>
    <numFmt numFmtId="181" formatCode="0_);[Red]\(0\)"/>
    <numFmt numFmtId="182" formatCode="_ * #,##0.0_ ;_ * \-#,##0.0_ ;_ * &quot;-&quot;_ ;_ @_ "/>
  </numFmts>
  <fonts count="6" x14ac:knownFonts="1">
    <font>
      <sz val="11"/>
      <color theme="1"/>
      <name val="游ゴシック"/>
      <family val="2"/>
      <scheme val="minor"/>
    </font>
    <font>
      <b/>
      <sz val="16"/>
      <color theme="1"/>
      <name val="游ゴシック"/>
      <family val="2"/>
      <scheme val="minor"/>
    </font>
    <font>
      <sz val="11"/>
      <color rgb="FFFFFFFF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游ゴシック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176" fontId="0" fillId="0" borderId="0" xfId="0" applyNumberFormat="1"/>
    <xf numFmtId="176" fontId="0" fillId="3" borderId="0" xfId="0" applyNumberFormat="1" applyFill="1"/>
    <xf numFmtId="177" fontId="0" fillId="0" borderId="0" xfId="0" applyNumberFormat="1"/>
    <xf numFmtId="176" fontId="0" fillId="0" borderId="1" xfId="0" applyNumberFormat="1" applyBorder="1"/>
    <xf numFmtId="176" fontId="0" fillId="0" borderId="0" xfId="0" applyNumberFormat="1" applyBorder="1"/>
    <xf numFmtId="176" fontId="0" fillId="0" borderId="1" xfId="0" applyNumberFormat="1" applyBorder="1" applyAlignment="1">
      <alignment horizontal="center"/>
    </xf>
    <xf numFmtId="176" fontId="0" fillId="4" borderId="0" xfId="0" applyNumberFormat="1" applyFill="1"/>
    <xf numFmtId="176" fontId="0" fillId="5" borderId="0" xfId="0" applyNumberFormat="1" applyFill="1"/>
    <xf numFmtId="176" fontId="0" fillId="2" borderId="0" xfId="0" applyNumberFormat="1" applyFill="1"/>
    <xf numFmtId="176" fontId="0" fillId="9" borderId="0" xfId="0" applyNumberFormat="1" applyFill="1"/>
    <xf numFmtId="176" fontId="0" fillId="8" borderId="0" xfId="0" applyNumberFormat="1" applyFill="1"/>
    <xf numFmtId="176" fontId="0" fillId="6" borderId="0" xfId="0" applyNumberFormat="1" applyFill="1"/>
    <xf numFmtId="176" fontId="2" fillId="7" borderId="1" xfId="0" applyNumberFormat="1" applyFont="1" applyFill="1" applyBorder="1"/>
    <xf numFmtId="176" fontId="0" fillId="0" borderId="0" xfId="0" applyNumberFormat="1" applyBorder="1" applyAlignment="1">
      <alignment horizontal="center"/>
    </xf>
    <xf numFmtId="176" fontId="2" fillId="10" borderId="1" xfId="0" applyNumberFormat="1" applyFont="1" applyFill="1" applyBorder="1"/>
    <xf numFmtId="176" fontId="0" fillId="0" borderId="2" xfId="0" applyNumberFormat="1" applyBorder="1"/>
    <xf numFmtId="176" fontId="3" fillId="0" borderId="0" xfId="0" applyNumberFormat="1" applyFont="1"/>
    <xf numFmtId="177" fontId="0" fillId="3" borderId="0" xfId="0" applyNumberFormat="1" applyFill="1"/>
    <xf numFmtId="177" fontId="2" fillId="7" borderId="1" xfId="0" applyNumberFormat="1" applyFont="1" applyFill="1" applyBorder="1"/>
    <xf numFmtId="177" fontId="0" fillId="0" borderId="1" xfId="0" applyNumberFormat="1" applyBorder="1"/>
    <xf numFmtId="177" fontId="0" fillId="0" borderId="0" xfId="0" applyNumberFormat="1" applyBorder="1" applyAlignment="1">
      <alignment horizontal="center"/>
    </xf>
    <xf numFmtId="177" fontId="3" fillId="0" borderId="0" xfId="0" applyNumberFormat="1" applyFont="1"/>
    <xf numFmtId="176" fontId="2" fillId="7" borderId="1" xfId="0" applyNumberFormat="1" applyFont="1" applyFill="1" applyBorder="1" applyAlignment="1">
      <alignment horizontal="left" vertical="center"/>
    </xf>
    <xf numFmtId="178" fontId="0" fillId="0" borderId="1" xfId="0" applyNumberFormat="1" applyBorder="1"/>
    <xf numFmtId="178" fontId="0" fillId="0" borderId="2" xfId="0" applyNumberFormat="1" applyBorder="1"/>
    <xf numFmtId="178" fontId="0" fillId="0" borderId="0" xfId="0" applyNumberFormat="1"/>
    <xf numFmtId="178" fontId="0" fillId="5" borderId="0" xfId="0" applyNumberFormat="1" applyFill="1"/>
    <xf numFmtId="179" fontId="0" fillId="0" borderId="0" xfId="0" applyNumberFormat="1"/>
    <xf numFmtId="176" fontId="3" fillId="0" borderId="0" xfId="0" applyNumberFormat="1" applyFont="1" applyAlignment="1">
      <alignment horizontal="center"/>
    </xf>
    <xf numFmtId="177" fontId="0" fillId="9" borderId="0" xfId="0" applyNumberFormat="1" applyFill="1"/>
    <xf numFmtId="176" fontId="0" fillId="0" borderId="0" xfId="0" applyNumberFormat="1" applyAlignment="1"/>
    <xf numFmtId="176" fontId="0" fillId="0" borderId="3" xfId="0" applyNumberFormat="1" applyBorder="1"/>
    <xf numFmtId="178" fontId="0" fillId="0" borderId="3" xfId="0" applyNumberFormat="1" applyBorder="1"/>
    <xf numFmtId="176" fontId="0" fillId="11" borderId="3" xfId="0" applyNumberFormat="1" applyFill="1" applyBorder="1"/>
    <xf numFmtId="176" fontId="0" fillId="11" borderId="0" xfId="0" applyNumberFormat="1" applyFill="1"/>
    <xf numFmtId="177" fontId="0" fillId="11" borderId="0" xfId="0" applyNumberFormat="1" applyFill="1"/>
    <xf numFmtId="176" fontId="0" fillId="12" borderId="0" xfId="0" applyNumberFormat="1" applyFill="1"/>
    <xf numFmtId="177" fontId="0" fillId="12" borderId="0" xfId="0" applyNumberFormat="1" applyFill="1"/>
    <xf numFmtId="178" fontId="0" fillId="3" borderId="0" xfId="0" applyNumberFormat="1" applyFill="1"/>
    <xf numFmtId="176" fontId="3" fillId="0" borderId="0" xfId="0" applyNumberFormat="1" applyFont="1" applyAlignment="1"/>
    <xf numFmtId="176" fontId="0" fillId="0" borderId="0" xfId="0" applyNumberFormat="1" applyAlignment="1">
      <alignment horizontal="center"/>
    </xf>
    <xf numFmtId="176" fontId="3" fillId="0" borderId="0" xfId="0" applyNumberFormat="1" applyFont="1" applyAlignment="1">
      <alignment horizontal="center"/>
    </xf>
    <xf numFmtId="176" fontId="0" fillId="13" borderId="0" xfId="0" applyNumberFormat="1" applyFill="1"/>
    <xf numFmtId="177" fontId="0" fillId="0" borderId="0" xfId="0" applyNumberFormat="1" applyFont="1"/>
    <xf numFmtId="176" fontId="0" fillId="0" borderId="0" xfId="0" applyNumberFormat="1" applyFont="1"/>
    <xf numFmtId="176" fontId="0" fillId="11" borderId="0" xfId="0" applyNumberFormat="1" applyFont="1" applyFill="1"/>
    <xf numFmtId="176" fontId="0" fillId="12" borderId="0" xfId="0" applyNumberFormat="1" applyFont="1" applyFill="1"/>
    <xf numFmtId="181" fontId="0" fillId="0" borderId="1" xfId="0" applyNumberFormat="1" applyBorder="1"/>
    <xf numFmtId="0" fontId="0" fillId="0" borderId="3" xfId="0" applyBorder="1" applyAlignment="1">
      <alignment horizontal="right"/>
    </xf>
    <xf numFmtId="180" fontId="0" fillId="0" borderId="3" xfId="0" applyNumberFormat="1" applyBorder="1" applyAlignment="1">
      <alignment horizontal="right"/>
    </xf>
    <xf numFmtId="176" fontId="0" fillId="13" borderId="3" xfId="0" applyNumberFormat="1" applyFill="1" applyBorder="1"/>
    <xf numFmtId="176" fontId="0" fillId="13" borderId="4" xfId="0" applyNumberFormat="1" applyFont="1" applyFill="1" applyBorder="1" applyAlignment="1">
      <alignment horizontal="right"/>
    </xf>
    <xf numFmtId="176" fontId="0" fillId="13" borderId="3" xfId="0" applyNumberFormat="1" applyFont="1" applyFill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0" fontId="0" fillId="0" borderId="0" xfId="0" applyAlignment="1">
      <alignment horizontal="right"/>
    </xf>
    <xf numFmtId="182" fontId="0" fillId="0" borderId="0" xfId="0" applyNumberFormat="1"/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176" fontId="0" fillId="14" borderId="0" xfId="0" applyNumberFormat="1" applyFill="1"/>
    <xf numFmtId="177" fontId="0" fillId="14" borderId="0" xfId="0" applyNumberFormat="1" applyFill="1"/>
    <xf numFmtId="176" fontId="0" fillId="12" borderId="4" xfId="0" applyNumberFormat="1" applyFont="1" applyFill="1" applyBorder="1" applyAlignment="1">
      <alignment horizontal="right"/>
    </xf>
    <xf numFmtId="176" fontId="0" fillId="12" borderId="3" xfId="0" applyNumberFormat="1" applyFont="1" applyFill="1" applyBorder="1" applyAlignment="1">
      <alignment horizontal="right"/>
    </xf>
    <xf numFmtId="176" fontId="0" fillId="0" borderId="5" xfId="0" applyNumberFormat="1" applyBorder="1" applyAlignment="1">
      <alignment horizontal="center"/>
    </xf>
    <xf numFmtId="17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00"/>
  <sheetViews>
    <sheetView tabSelected="1" workbookViewId="0">
      <pane xSplit="1" topLeftCell="B1" activePane="topRight" state="frozen"/>
      <selection activeCell="Q13" sqref="Q13:Q30"/>
      <selection pane="topRight" activeCell="C21" sqref="C21"/>
    </sheetView>
  </sheetViews>
  <sheetFormatPr defaultColWidth="9.0703125" defaultRowHeight="14.25" x14ac:dyDescent="0.2"/>
  <cols>
    <col min="1" max="1" width="17.8984375" style="1" bestFit="1" customWidth="1"/>
    <col min="2" max="3" width="13.97265625" style="1" bestFit="1" customWidth="1"/>
    <col min="4" max="4" width="9.31640625" style="1" bestFit="1" customWidth="1"/>
    <col min="5" max="5" width="12.50390625" style="1" bestFit="1" customWidth="1"/>
    <col min="6" max="6" width="12.13671875" style="1" bestFit="1" customWidth="1"/>
    <col min="7" max="8" width="13.97265625" style="1" bestFit="1" customWidth="1"/>
    <col min="9" max="11" width="13.23828125" style="1" bestFit="1" customWidth="1"/>
    <col min="12" max="12" width="13.97265625" style="1" bestFit="1" customWidth="1"/>
    <col min="13" max="13" width="13.23828125" style="1" bestFit="1" customWidth="1"/>
    <col min="14" max="14" width="15.078125" style="1" bestFit="1" customWidth="1"/>
    <col min="15" max="15" width="11.3984375" style="1" bestFit="1" customWidth="1"/>
    <col min="16" max="16" width="15.078125" style="1" bestFit="1" customWidth="1"/>
    <col min="17" max="18" width="13.97265625" style="1" bestFit="1" customWidth="1"/>
    <col min="19" max="19" width="11.3984375" style="1" bestFit="1" customWidth="1"/>
    <col min="20" max="20" width="7.4765625" style="1" bestFit="1" customWidth="1"/>
    <col min="21" max="21" width="5.63671875" style="1" bestFit="1" customWidth="1"/>
    <col min="22" max="22" width="9.31640625" style="1" bestFit="1" customWidth="1"/>
    <col min="23" max="23" width="11.3984375" style="1" bestFit="1" customWidth="1"/>
    <col min="24" max="24" width="7.4765625" style="1" bestFit="1" customWidth="1"/>
    <col min="25" max="25" width="5.63671875" style="1" bestFit="1" customWidth="1"/>
    <col min="26" max="26" width="9.31640625" style="1" bestFit="1" customWidth="1"/>
    <col min="27" max="27" width="6.86328125" style="1" bestFit="1" customWidth="1"/>
    <col min="28" max="28" width="7.23046875" style="1" bestFit="1" customWidth="1"/>
    <col min="29" max="29" width="7.35546875" style="1" customWidth="1"/>
    <col min="30" max="16384" width="9.0703125" style="1"/>
  </cols>
  <sheetData>
    <row r="1" spans="1:26" ht="21" x14ac:dyDescent="0.3">
      <c r="B1" s="70" t="s">
        <v>62</v>
      </c>
      <c r="C1" s="70"/>
      <c r="D1" s="70"/>
    </row>
    <row r="2" spans="1:26" ht="25.5" customHeight="1" x14ac:dyDescent="0.3">
      <c r="A2" s="3"/>
      <c r="B2" s="71" t="s">
        <v>128</v>
      </c>
      <c r="C2" s="71"/>
      <c r="D2" s="71"/>
      <c r="E2" s="71"/>
      <c r="F2" s="63"/>
      <c r="G2" s="63"/>
      <c r="H2" s="63"/>
      <c r="I2" s="63"/>
      <c r="J2" s="63"/>
      <c r="K2" s="63"/>
    </row>
    <row r="3" spans="1:26" ht="14.25" customHeight="1" x14ac:dyDescent="0.2">
      <c r="A3" s="3" t="s">
        <v>0</v>
      </c>
      <c r="B3" s="71"/>
      <c r="C3" s="71"/>
      <c r="D3" s="71"/>
      <c r="E3" s="71"/>
      <c r="F3" s="62"/>
      <c r="G3" s="62"/>
      <c r="H3" s="62"/>
      <c r="I3" s="62"/>
      <c r="J3" s="62"/>
      <c r="K3" s="62"/>
    </row>
    <row r="4" spans="1:26" x14ac:dyDescent="0.2">
      <c r="A4" s="3" t="s">
        <v>1</v>
      </c>
      <c r="B4" s="1" t="s">
        <v>120</v>
      </c>
      <c r="C4" s="1" t="s">
        <v>2</v>
      </c>
      <c r="D4" s="1" t="s">
        <v>77</v>
      </c>
      <c r="E4" s="1" t="s">
        <v>9</v>
      </c>
      <c r="F4" s="1" t="s">
        <v>85</v>
      </c>
      <c r="G4" s="1" t="s">
        <v>11</v>
      </c>
      <c r="H4" s="1" t="s">
        <v>12</v>
      </c>
      <c r="I4" s="1" t="s">
        <v>111</v>
      </c>
      <c r="J4" s="1" t="s">
        <v>109</v>
      </c>
      <c r="K4" s="1" t="s">
        <v>110</v>
      </c>
      <c r="L4" s="1" t="s">
        <v>131</v>
      </c>
      <c r="M4" s="1" t="s">
        <v>132</v>
      </c>
      <c r="N4" s="1" t="s">
        <v>141</v>
      </c>
      <c r="O4" s="1" t="s">
        <v>96</v>
      </c>
      <c r="P4" s="1" t="s">
        <v>13</v>
      </c>
      <c r="Q4" s="1" t="s">
        <v>14</v>
      </c>
      <c r="R4" s="1" t="s">
        <v>97</v>
      </c>
      <c r="S4" s="1" t="s">
        <v>98</v>
      </c>
      <c r="T4" s="1" t="s">
        <v>105</v>
      </c>
      <c r="U4" s="1" t="s">
        <v>106</v>
      </c>
      <c r="V4" s="1" t="s">
        <v>99</v>
      </c>
      <c r="W4" s="1" t="s">
        <v>133</v>
      </c>
      <c r="X4" s="1" t="s">
        <v>159</v>
      </c>
      <c r="Y4" s="1" t="s">
        <v>135</v>
      </c>
      <c r="Z4" s="1" t="s">
        <v>136</v>
      </c>
    </row>
    <row r="5" spans="1:26" x14ac:dyDescent="0.2">
      <c r="A5" s="39">
        <v>0.875</v>
      </c>
      <c r="B5" s="7">
        <f>K132/9</f>
        <v>13</v>
      </c>
      <c r="C5" s="27">
        <f>(B67+B68+B70+B71+B72+B73+B74+B75+B76+B77+B78+B79+B80+B81+B83+B84+B85+B86+B87+B91+B82)</f>
        <v>612.6</v>
      </c>
      <c r="D5" s="27">
        <f>D67+D68*2+D69+D70+D71+D72+D73+D74+D75+D76+D77+D78+D79+D80+D81</f>
        <v>958.5</v>
      </c>
      <c r="E5" s="9">
        <f>F67+F68+F70+F71+F72+F73+F74+F75+F76+F77+F78+F79+F80+F81+F82</f>
        <v>33</v>
      </c>
      <c r="F5" s="9">
        <f>H67+H68+H70+H71+H72+H73+H74+H75+H76+H77+H78+H79+H80+H81</f>
        <v>87.5</v>
      </c>
      <c r="G5" s="10">
        <v>107</v>
      </c>
      <c r="H5" s="11">
        <f>J92</f>
        <v>0</v>
      </c>
      <c r="I5" s="11">
        <f>J93</f>
        <v>0</v>
      </c>
      <c r="J5" s="7">
        <f>J94</f>
        <v>0</v>
      </c>
      <c r="K5" s="7">
        <f>J95</f>
        <v>0</v>
      </c>
      <c r="L5" s="11">
        <f>J96</f>
        <v>0</v>
      </c>
      <c r="M5" s="11">
        <f>J97</f>
        <v>0</v>
      </c>
      <c r="N5" s="7">
        <f>J98</f>
        <v>0</v>
      </c>
      <c r="O5" s="12">
        <f>J99</f>
        <v>68</v>
      </c>
      <c r="P5" s="12">
        <f>J100</f>
        <v>5</v>
      </c>
      <c r="Q5" s="12">
        <f>J101</f>
        <v>20</v>
      </c>
      <c r="R5" s="12">
        <f>J102</f>
        <v>16</v>
      </c>
      <c r="S5" s="2">
        <f>J103</f>
        <v>77.599999999999994</v>
      </c>
      <c r="T5" s="2">
        <f>J104</f>
        <v>3</v>
      </c>
      <c r="U5" s="2">
        <f>J105</f>
        <v>25</v>
      </c>
      <c r="V5" s="2">
        <f>J106</f>
        <v>16</v>
      </c>
      <c r="W5" s="9">
        <f>J107</f>
        <v>0</v>
      </c>
      <c r="X5" s="9">
        <f>J108</f>
        <v>0</v>
      </c>
      <c r="Y5" s="9">
        <f>J109</f>
        <v>0</v>
      </c>
      <c r="Z5" s="9">
        <f>J110</f>
        <v>0</v>
      </c>
    </row>
    <row r="6" spans="1:26" x14ac:dyDescent="0.2">
      <c r="A6" s="26">
        <f>A5</f>
        <v>0.875</v>
      </c>
      <c r="B6" s="1">
        <f>B5</f>
        <v>13</v>
      </c>
      <c r="C6" s="1">
        <f>(C5+D5+100)/100</f>
        <v>16.710999999999999</v>
      </c>
      <c r="E6" s="1">
        <f>(E5+F5+100)/100</f>
        <v>2.2050000000000001</v>
      </c>
      <c r="G6" s="3">
        <f>G5/100</f>
        <v>1.07</v>
      </c>
      <c r="H6" s="1">
        <f>(H5*(1+I5/100)+J5*(1+K5/100)+L5*(1+M5/100)+N5+100)/100</f>
        <v>1</v>
      </c>
      <c r="O6" s="1">
        <f>(100+O5*P5*(Q5*(1+R5/100))/100+S5*T5*(U5*(1+V5/100))/100+W5*X5*(Y5*(1+Z5/100))/100)/100</f>
        <v>2.4639199999999999</v>
      </c>
    </row>
    <row r="7" spans="1:26" x14ac:dyDescent="0.2">
      <c r="A7" s="3"/>
    </row>
    <row r="8" spans="1:26" x14ac:dyDescent="0.2">
      <c r="A8" s="19"/>
      <c r="B8" s="23" t="s">
        <v>15</v>
      </c>
      <c r="C8" s="23" t="s">
        <v>16</v>
      </c>
      <c r="D8" s="23" t="s">
        <v>17</v>
      </c>
      <c r="E8" s="23" t="s">
        <v>18</v>
      </c>
      <c r="G8" s="15" t="s">
        <v>21</v>
      </c>
      <c r="H8" s="15" t="s">
        <v>1</v>
      </c>
      <c r="I8" s="15" t="s">
        <v>22</v>
      </c>
      <c r="J8"/>
    </row>
    <row r="9" spans="1:26" x14ac:dyDescent="0.2">
      <c r="A9" s="19" t="s">
        <v>19</v>
      </c>
      <c r="B9" s="20">
        <f>A6*B6*C6*E6*G6*H6</f>
        <v>448.48323804374996</v>
      </c>
      <c r="C9" s="4">
        <f>B9</f>
        <v>448.48323804374996</v>
      </c>
      <c r="D9" s="4">
        <f>IF(G5=40,B9*3,IF(G5=55,B9*2,B9))</f>
        <v>448.48323804374996</v>
      </c>
      <c r="E9" s="20">
        <f>((C11*324)*1.05)/1000000*5</f>
        <v>1.8796506206171668</v>
      </c>
      <c r="G9" s="4" t="s">
        <v>26</v>
      </c>
      <c r="H9" s="24">
        <v>0.65</v>
      </c>
      <c r="I9" s="24">
        <v>2.6</v>
      </c>
      <c r="J9"/>
    </row>
    <row r="10" spans="1:26" x14ac:dyDescent="0.2">
      <c r="A10" s="19" t="s">
        <v>20</v>
      </c>
      <c r="B10" s="4">
        <f>B9*O5/100+B9*S5/100</f>
        <v>652.99159459169994</v>
      </c>
      <c r="C10" s="4">
        <f>C9*(O6-1)</f>
        <v>656.5435818370064</v>
      </c>
      <c r="G10" s="4" t="s">
        <v>27</v>
      </c>
      <c r="H10" s="24">
        <v>0.75</v>
      </c>
      <c r="I10" s="24">
        <v>3</v>
      </c>
      <c r="J10"/>
    </row>
    <row r="11" spans="1:26" x14ac:dyDescent="0.2">
      <c r="A11" s="19" t="s">
        <v>24</v>
      </c>
      <c r="B11" s="6" t="s">
        <v>25</v>
      </c>
      <c r="C11" s="4">
        <f>C9+C10</f>
        <v>1105.0268198807564</v>
      </c>
      <c r="G11" s="16" t="s">
        <v>29</v>
      </c>
      <c r="H11" s="25">
        <v>0.875</v>
      </c>
      <c r="I11" s="25">
        <v>3.5</v>
      </c>
      <c r="J11"/>
    </row>
    <row r="12" spans="1:26" x14ac:dyDescent="0.2">
      <c r="A12" s="21"/>
      <c r="B12" s="14"/>
      <c r="C12" s="5"/>
      <c r="G12" s="4" t="s">
        <v>32</v>
      </c>
      <c r="H12" s="24">
        <v>0.97499999999999998</v>
      </c>
      <c r="I12" s="24">
        <v>3.9</v>
      </c>
      <c r="J12"/>
      <c r="T12"/>
      <c r="Z12"/>
    </row>
    <row r="13" spans="1:26" x14ac:dyDescent="0.2">
      <c r="A13" s="22" t="s">
        <v>28</v>
      </c>
      <c r="B13" s="17"/>
      <c r="C13" s="17"/>
      <c r="D13" s="17"/>
      <c r="E13" s="17"/>
      <c r="F13" s="17"/>
      <c r="Q13"/>
      <c r="T13"/>
      <c r="W13"/>
    </row>
    <row r="14" spans="1:26" s="17" customFormat="1" x14ac:dyDescent="0.2">
      <c r="A14" s="22" t="s">
        <v>22</v>
      </c>
      <c r="B14" s="17" t="s">
        <v>120</v>
      </c>
      <c r="C14" s="17" t="s">
        <v>23</v>
      </c>
      <c r="D14" s="17" t="s">
        <v>30</v>
      </c>
      <c r="E14" s="17" t="s">
        <v>31</v>
      </c>
      <c r="F14" s="17" t="s">
        <v>101</v>
      </c>
      <c r="G14" s="17" t="s">
        <v>137</v>
      </c>
      <c r="H14" s="17" t="s">
        <v>138</v>
      </c>
      <c r="I14" s="17" t="s">
        <v>139</v>
      </c>
      <c r="J14" s="17" t="s">
        <v>140</v>
      </c>
      <c r="K14" s="17" t="s">
        <v>142</v>
      </c>
      <c r="N14" s="64"/>
      <c r="Q14" s="64"/>
      <c r="T14" s="64"/>
    </row>
    <row r="15" spans="1:26" x14ac:dyDescent="0.2">
      <c r="A15" s="18">
        <v>2.6</v>
      </c>
      <c r="B15" s="7">
        <f>K200/9</f>
        <v>15</v>
      </c>
      <c r="C15" s="27">
        <f>C135+C136+C138+C139+C140+C141+C142+C143+C144+C145+C146+C147+C148+C149+C151+C156+C157+C158+C150</f>
        <v>578.99400000000003</v>
      </c>
      <c r="D15" s="8">
        <f>E135+E136++E138+E139+E140+E141+E142+E143+E144+E145+E146+E147+E148+E149</f>
        <v>717.5</v>
      </c>
      <c r="E15" s="11">
        <f>J179</f>
        <v>27.8</v>
      </c>
      <c r="F15" s="11">
        <f>J180</f>
        <v>16</v>
      </c>
      <c r="G15" s="7">
        <f>J181</f>
        <v>0</v>
      </c>
      <c r="H15" s="7">
        <f>J182</f>
        <v>0</v>
      </c>
      <c r="I15" s="11">
        <f>J183</f>
        <v>0</v>
      </c>
      <c r="J15" s="11">
        <f>J184</f>
        <v>0</v>
      </c>
      <c r="K15" s="7">
        <f>J185</f>
        <v>0</v>
      </c>
      <c r="N15"/>
      <c r="Q15"/>
      <c r="T15"/>
    </row>
    <row r="16" spans="1:26" x14ac:dyDescent="0.2">
      <c r="A16" s="3">
        <f>A15</f>
        <v>2.6</v>
      </c>
      <c r="B16" s="1">
        <f>B15</f>
        <v>15</v>
      </c>
      <c r="C16" s="1">
        <f>(C15+D15+100)/100</f>
        <v>13.964940000000002</v>
      </c>
      <c r="E16" s="1">
        <f>(E15*(1+F15/100)+G15*(1+H15/100)+I15*(1+J15/100)+K15+100)/100</f>
        <v>1.3224799999999999</v>
      </c>
      <c r="N16"/>
      <c r="Q16"/>
      <c r="T16"/>
    </row>
    <row r="17" spans="1:35" x14ac:dyDescent="0.2">
      <c r="A17" s="3"/>
      <c r="Q17"/>
      <c r="T17"/>
      <c r="W17"/>
    </row>
    <row r="18" spans="1:35" x14ac:dyDescent="0.2">
      <c r="A18" s="19"/>
      <c r="B18" s="13" t="s">
        <v>15</v>
      </c>
      <c r="Q18"/>
      <c r="T18"/>
      <c r="W18"/>
      <c r="Z18"/>
    </row>
    <row r="19" spans="1:35" x14ac:dyDescent="0.2">
      <c r="A19" s="19" t="s">
        <v>39</v>
      </c>
      <c r="B19" s="4">
        <f>A16*C16*E16</f>
        <v>48.017720013120005</v>
      </c>
      <c r="Q19"/>
      <c r="T19"/>
      <c r="W19"/>
    </row>
    <row r="20" spans="1:35" x14ac:dyDescent="0.2">
      <c r="A20" s="19" t="s">
        <v>41</v>
      </c>
      <c r="B20" s="4">
        <f>B19*B16</f>
        <v>720.26580019680011</v>
      </c>
      <c r="Q20"/>
      <c r="T20"/>
      <c r="W20"/>
      <c r="Z20"/>
    </row>
    <row r="21" spans="1:35" x14ac:dyDescent="0.2">
      <c r="A21" s="19" t="s">
        <v>43</v>
      </c>
      <c r="B21" s="4">
        <f>B20*9</f>
        <v>6482.3922017712011</v>
      </c>
      <c r="Q21"/>
      <c r="T21"/>
      <c r="W21"/>
    </row>
    <row r="22" spans="1:35" x14ac:dyDescent="0.2">
      <c r="A22" s="3"/>
      <c r="Q22"/>
      <c r="T22"/>
      <c r="W22"/>
    </row>
    <row r="23" spans="1:35" x14ac:dyDescent="0.2">
      <c r="A23" s="22" t="s">
        <v>44</v>
      </c>
      <c r="B23" s="17"/>
      <c r="C23" s="17"/>
      <c r="D23" s="17"/>
      <c r="E23" s="17"/>
      <c r="F23" s="17"/>
      <c r="G23" s="17"/>
      <c r="Q23"/>
      <c r="T23"/>
      <c r="W23"/>
    </row>
    <row r="24" spans="1:35" x14ac:dyDescent="0.2">
      <c r="A24" s="17" t="s">
        <v>45</v>
      </c>
      <c r="B24" s="17" t="s">
        <v>46</v>
      </c>
      <c r="C24" s="17" t="s">
        <v>5</v>
      </c>
      <c r="D24" s="17" t="s">
        <v>47</v>
      </c>
      <c r="E24" s="17" t="s">
        <v>103</v>
      </c>
      <c r="F24" s="17" t="s">
        <v>152</v>
      </c>
      <c r="G24" s="17" t="s">
        <v>153</v>
      </c>
      <c r="H24" s="17" t="s">
        <v>154</v>
      </c>
      <c r="I24" s="17" t="s">
        <v>155</v>
      </c>
      <c r="J24" s="17" t="s">
        <v>156</v>
      </c>
      <c r="K24" s="17" t="s">
        <v>114</v>
      </c>
      <c r="L24" s="17" t="s">
        <v>108</v>
      </c>
      <c r="M24" s="17" t="s">
        <v>145</v>
      </c>
      <c r="N24" s="17" t="s">
        <v>146</v>
      </c>
      <c r="O24" s="17" t="s">
        <v>147</v>
      </c>
      <c r="P24" s="17" t="s">
        <v>148</v>
      </c>
      <c r="Q24" s="17" t="s">
        <v>149</v>
      </c>
      <c r="R24" s="17" t="s">
        <v>125</v>
      </c>
      <c r="Z24"/>
      <c r="AC24"/>
      <c r="AF24"/>
    </row>
    <row r="25" spans="1:35" x14ac:dyDescent="0.2">
      <c r="A25" s="9">
        <f>G135+G136+G137+G138+G139+G140+G141+G142+G143+G144+G145+G146+G147+G148+G149+G150</f>
        <v>9</v>
      </c>
      <c r="B25" s="9">
        <f>I135+I136+I137+I138+I139+I140+I141+I142+I143+I144+I145+I146+I147+I148+I149+I151+I156+I157+I158</f>
        <v>103</v>
      </c>
      <c r="C25" s="8">
        <f>E137</f>
        <v>90</v>
      </c>
      <c r="D25" s="11">
        <f>J186</f>
        <v>0</v>
      </c>
      <c r="E25" s="11">
        <f>J187</f>
        <v>0</v>
      </c>
      <c r="F25" s="7">
        <f>J188</f>
        <v>0</v>
      </c>
      <c r="G25" s="7">
        <f>J189</f>
        <v>0</v>
      </c>
      <c r="H25" s="11">
        <f>J190</f>
        <v>0</v>
      </c>
      <c r="I25" s="11">
        <f>J191</f>
        <v>0</v>
      </c>
      <c r="J25" s="7">
        <f>J192</f>
        <v>0</v>
      </c>
      <c r="K25" s="43">
        <f>J193</f>
        <v>0</v>
      </c>
      <c r="L25" s="43">
        <f>J194</f>
        <v>0</v>
      </c>
      <c r="M25" s="9">
        <f>J195</f>
        <v>0</v>
      </c>
      <c r="N25" s="9">
        <f>J196</f>
        <v>0</v>
      </c>
      <c r="O25" s="43">
        <f>J197</f>
        <v>0</v>
      </c>
      <c r="P25" s="43">
        <f>J198</f>
        <v>0</v>
      </c>
      <c r="Q25" s="9">
        <f>J199</f>
        <v>0</v>
      </c>
      <c r="R25" s="43">
        <f>K25*(L25/100+1)+M25*(1+N25/100)+O25*(1+P25/100)+Q25</f>
        <v>0</v>
      </c>
      <c r="Z25"/>
      <c r="AC25"/>
      <c r="AF25"/>
      <c r="AI25"/>
    </row>
    <row r="26" spans="1:35" x14ac:dyDescent="0.2">
      <c r="A26" s="3">
        <f>100/(A25+B25+R25+100)</f>
        <v>0.47169811320754718</v>
      </c>
      <c r="C26" s="1">
        <f>100/(C25+100)</f>
        <v>0.52631578947368418</v>
      </c>
      <c r="D26" s="1">
        <f>100/(D25*(1+E25/100)+F25*(1+G25/100)+H25*(1+I25/100)+J25+100)</f>
        <v>1</v>
      </c>
      <c r="P26"/>
      <c r="S26"/>
      <c r="V26"/>
    </row>
    <row r="27" spans="1:35" x14ac:dyDescent="0.2">
      <c r="A27" s="3"/>
      <c r="Q27"/>
      <c r="T27"/>
      <c r="W27"/>
    </row>
    <row r="28" spans="1:35" x14ac:dyDescent="0.2">
      <c r="A28" s="19"/>
      <c r="B28" s="13" t="s">
        <v>15</v>
      </c>
      <c r="C28" s="13" t="s">
        <v>16</v>
      </c>
      <c r="D28" s="13" t="s">
        <v>48</v>
      </c>
      <c r="Q28"/>
      <c r="T28"/>
      <c r="W28"/>
    </row>
    <row r="29" spans="1:35" x14ac:dyDescent="0.2">
      <c r="A29" s="19" t="s">
        <v>19</v>
      </c>
      <c r="B29" s="20">
        <f>B9*A26*C26*D26</f>
        <v>111.34141957392005</v>
      </c>
      <c r="C29" s="20">
        <f>C9*A26*C26*D26</f>
        <v>111.34141957392005</v>
      </c>
      <c r="D29" s="4">
        <f>C29/B19</f>
        <v>2.318756899400845</v>
      </c>
      <c r="Q29"/>
      <c r="T29"/>
      <c r="W29"/>
    </row>
    <row r="30" spans="1:35" x14ac:dyDescent="0.2">
      <c r="A30" s="19" t="s">
        <v>20</v>
      </c>
      <c r="B30" s="20">
        <f>B10*A26*C26*D26</f>
        <v>162.11310689962758</v>
      </c>
      <c r="C30" s="4">
        <f>C10*A26*C26*D26</f>
        <v>162.99493094265304</v>
      </c>
      <c r="D30" s="4">
        <f>C30/B19</f>
        <v>3.3944746001708852</v>
      </c>
      <c r="Q30"/>
      <c r="T30"/>
      <c r="Z30"/>
    </row>
    <row r="31" spans="1:35" x14ac:dyDescent="0.2">
      <c r="A31" s="19" t="s">
        <v>24</v>
      </c>
      <c r="B31" s="6" t="s">
        <v>25</v>
      </c>
      <c r="C31" s="4">
        <f>C11*A26*C26*D26</f>
        <v>274.33635051657308</v>
      </c>
      <c r="D31" s="4">
        <f>C31/B19</f>
        <v>5.7132314995717302</v>
      </c>
      <c r="T31"/>
      <c r="Z31"/>
    </row>
    <row r="32" spans="1:35" x14ac:dyDescent="0.2">
      <c r="B32" s="69" t="s">
        <v>49</v>
      </c>
      <c r="C32" s="69"/>
      <c r="D32" s="1">
        <f>B21/C31</f>
        <v>23.629359323199097</v>
      </c>
      <c r="E32" s="1" t="s">
        <v>50</v>
      </c>
      <c r="T32"/>
      <c r="Z32"/>
    </row>
    <row r="33" spans="1:26" x14ac:dyDescent="0.2">
      <c r="T33"/>
      <c r="Z33"/>
    </row>
    <row r="34" spans="1:26" x14ac:dyDescent="0.2">
      <c r="A34" s="3"/>
    </row>
    <row r="35" spans="1:26" s="17" customFormat="1" x14ac:dyDescent="0.2">
      <c r="A35" s="22" t="s">
        <v>53</v>
      </c>
      <c r="D35" s="40"/>
      <c r="E35" s="40"/>
      <c r="F35" s="40"/>
      <c r="G35" s="40"/>
      <c r="H35" s="40"/>
      <c r="I35" s="40"/>
      <c r="J35" s="40"/>
      <c r="K35" s="29"/>
    </row>
    <row r="36" spans="1:26" s="17" customFormat="1" x14ac:dyDescent="0.2">
      <c r="A36" s="22" t="s">
        <v>1</v>
      </c>
      <c r="B36" s="17" t="s">
        <v>120</v>
      </c>
      <c r="C36" s="17" t="s">
        <v>2</v>
      </c>
      <c r="D36" s="17" t="s">
        <v>36</v>
      </c>
      <c r="E36" s="17" t="s">
        <v>9</v>
      </c>
      <c r="F36" s="17" t="s">
        <v>10</v>
      </c>
      <c r="G36" s="17" t="s">
        <v>11</v>
      </c>
      <c r="H36" s="17" t="s">
        <v>12</v>
      </c>
      <c r="I36" s="17" t="s">
        <v>111</v>
      </c>
      <c r="J36" s="17" t="s">
        <v>109</v>
      </c>
      <c r="K36" s="17" t="s">
        <v>110</v>
      </c>
      <c r="L36" s="17" t="s">
        <v>131</v>
      </c>
      <c r="M36" s="17" t="s">
        <v>132</v>
      </c>
      <c r="N36" s="17" t="s">
        <v>141</v>
      </c>
      <c r="O36" s="17" t="s">
        <v>96</v>
      </c>
      <c r="P36" s="17" t="s">
        <v>13</v>
      </c>
      <c r="Q36" s="17" t="s">
        <v>14</v>
      </c>
      <c r="R36" s="17" t="s">
        <v>97</v>
      </c>
      <c r="S36" s="17" t="s">
        <v>98</v>
      </c>
      <c r="T36" s="17" t="s">
        <v>105</v>
      </c>
      <c r="U36" s="17" t="s">
        <v>106</v>
      </c>
      <c r="V36" s="17" t="s">
        <v>99</v>
      </c>
      <c r="W36" s="17" t="s">
        <v>133</v>
      </c>
      <c r="X36" s="17" t="s">
        <v>159</v>
      </c>
      <c r="Y36" s="17" t="s">
        <v>135</v>
      </c>
      <c r="Z36" s="17" t="s">
        <v>136</v>
      </c>
    </row>
    <row r="37" spans="1:26" x14ac:dyDescent="0.2">
      <c r="A37" s="39">
        <v>0.75</v>
      </c>
      <c r="B37" s="7">
        <f>B15</f>
        <v>15</v>
      </c>
      <c r="C37" s="27">
        <f>B135+B136+B138+B139+B140+B141+B142+B143+B144+B145+B146+B147+B148+B149+B151+B152+B153+B154+B155+B159+B150</f>
        <v>736.08300000000008</v>
      </c>
      <c r="D37" s="27">
        <f>D135+D136*2+D137+D138+D139+D140+D141+D142+D143+D144+D145+D146+D147+D148+D149</f>
        <v>1256.3</v>
      </c>
      <c r="E37" s="9">
        <f>F135+F136+F138+F139+F140+F141+F142+F143+F144+F145+F146+F147+F148+F149+F150</f>
        <v>28</v>
      </c>
      <c r="F37" s="9">
        <f>H135+H136+H138+H139+H140+H141+H142+H143+H144+H145+H146+H147+H148+H149</f>
        <v>87.5</v>
      </c>
      <c r="G37" s="30">
        <v>41.5</v>
      </c>
      <c r="H37" s="11">
        <f>J160</f>
        <v>73.7</v>
      </c>
      <c r="I37" s="11">
        <f>J161</f>
        <v>16</v>
      </c>
      <c r="J37" s="7">
        <f>J162</f>
        <v>29.1</v>
      </c>
      <c r="K37" s="7">
        <f>J163</f>
        <v>11</v>
      </c>
      <c r="L37" s="11">
        <f>J164</f>
        <v>0</v>
      </c>
      <c r="M37" s="11">
        <f>J165</f>
        <v>0</v>
      </c>
      <c r="N37" s="7">
        <f>J166</f>
        <v>0</v>
      </c>
      <c r="O37" s="12">
        <f>J167</f>
        <v>83.2</v>
      </c>
      <c r="P37" s="12">
        <f>J168</f>
        <v>3</v>
      </c>
      <c r="Q37" s="12">
        <f>J169</f>
        <v>20</v>
      </c>
      <c r="R37" s="12">
        <f>J170</f>
        <v>16</v>
      </c>
      <c r="S37" s="2">
        <f>J171</f>
        <v>0</v>
      </c>
      <c r="T37" s="2">
        <f>J172</f>
        <v>0</v>
      </c>
      <c r="U37" s="2">
        <f>J173</f>
        <v>0</v>
      </c>
      <c r="V37" s="2">
        <f>J174</f>
        <v>0</v>
      </c>
      <c r="W37" s="9">
        <f>J175</f>
        <v>0</v>
      </c>
      <c r="X37" s="9">
        <f>J176</f>
        <v>0</v>
      </c>
      <c r="Y37" s="9">
        <f>J177</f>
        <v>0</v>
      </c>
      <c r="Z37" s="9">
        <f>J178</f>
        <v>0</v>
      </c>
    </row>
    <row r="38" spans="1:26" x14ac:dyDescent="0.2">
      <c r="A38" s="26">
        <f>A37</f>
        <v>0.75</v>
      </c>
      <c r="B38" s="1">
        <f>B37</f>
        <v>15</v>
      </c>
      <c r="C38" s="1">
        <f>(C37+D37+100)/100</f>
        <v>20.923829999999999</v>
      </c>
      <c r="E38" s="1">
        <f>(E37+F37+100)/100</f>
        <v>2.1549999999999998</v>
      </c>
      <c r="G38" s="26">
        <f>G37/100</f>
        <v>0.41499999999999998</v>
      </c>
      <c r="H38" s="1">
        <f>(H37*(1+I37/100)+J37*(1+K37/100)+L37*(1+M37/100)+N37+100)/100</f>
        <v>2.1779299999999999</v>
      </c>
      <c r="O38" s="1">
        <f>(100+O37*P37*(Q37*(1+R37/100))/100+S37*T37*(U37*(1+V37/100))/100+W37*X37*(Y37*(1+Z37/100))/100)/100</f>
        <v>1.5790719999999998</v>
      </c>
    </row>
    <row r="39" spans="1:26" x14ac:dyDescent="0.2">
      <c r="A39" s="3"/>
    </row>
    <row r="40" spans="1:26" x14ac:dyDescent="0.2">
      <c r="A40" s="19"/>
      <c r="B40" s="23" t="s">
        <v>15</v>
      </c>
      <c r="C40" s="23" t="s">
        <v>16</v>
      </c>
      <c r="D40" s="23" t="s">
        <v>17</v>
      </c>
      <c r="E40" s="23" t="s">
        <v>18</v>
      </c>
    </row>
    <row r="41" spans="1:26" x14ac:dyDescent="0.2">
      <c r="A41" s="19" t="s">
        <v>19</v>
      </c>
      <c r="B41" s="4">
        <f>A38*B38*C38*E38*G38*H38</f>
        <v>458.49329999242832</v>
      </c>
      <c r="C41" s="4">
        <f>B41/G38</f>
        <v>1104.8031325118754</v>
      </c>
      <c r="D41" s="4">
        <f>IF(G37=40,B41*3,IF(G37=55,B41*2,B41))</f>
        <v>458.49329999242832</v>
      </c>
      <c r="E41" s="20">
        <f>((C43*324)*1.05)/1000000*5</f>
        <v>2.9675028401971075</v>
      </c>
    </row>
    <row r="42" spans="1:26" x14ac:dyDescent="0.2">
      <c r="A42" s="19" t="s">
        <v>20</v>
      </c>
      <c r="B42" s="4">
        <f>B41*O37/100+B41*S37/100</f>
        <v>381.46642559370042</v>
      </c>
      <c r="C42" s="4">
        <f>C41*(O38-1)</f>
        <v>639.76055954991648</v>
      </c>
    </row>
    <row r="43" spans="1:26" x14ac:dyDescent="0.2">
      <c r="A43" s="19" t="s">
        <v>24</v>
      </c>
      <c r="B43" s="6" t="s">
        <v>25</v>
      </c>
      <c r="C43" s="4">
        <f>C41+C42</f>
        <v>1744.5636920617919</v>
      </c>
    </row>
    <row r="44" spans="1:26" x14ac:dyDescent="0.2">
      <c r="A44" s="21"/>
      <c r="B44" s="14"/>
      <c r="C44" s="5"/>
    </row>
    <row r="45" spans="1:26" s="17" customFormat="1" x14ac:dyDescent="0.2">
      <c r="A45" s="44" t="s">
        <v>54</v>
      </c>
      <c r="B45" s="45"/>
      <c r="C45" s="45"/>
      <c r="D45" s="45"/>
      <c r="E45" s="45"/>
      <c r="F45" s="45"/>
      <c r="N45" s="1"/>
      <c r="O45" s="1"/>
      <c r="P45" s="1"/>
      <c r="Q45" s="1"/>
      <c r="R45" s="1"/>
      <c r="S45" s="1"/>
    </row>
    <row r="46" spans="1:26" s="45" customFormat="1" x14ac:dyDescent="0.2">
      <c r="A46" s="44" t="s">
        <v>22</v>
      </c>
      <c r="B46" s="45" t="s">
        <v>120</v>
      </c>
      <c r="C46" s="45" t="s">
        <v>23</v>
      </c>
      <c r="D46" s="45" t="s">
        <v>78</v>
      </c>
      <c r="E46" s="45" t="s">
        <v>31</v>
      </c>
      <c r="F46" s="45" t="s">
        <v>101</v>
      </c>
      <c r="G46" s="45" t="s">
        <v>137</v>
      </c>
      <c r="H46" s="45" t="s">
        <v>138</v>
      </c>
      <c r="I46" s="45" t="s">
        <v>139</v>
      </c>
      <c r="J46" s="45" t="s">
        <v>140</v>
      </c>
      <c r="K46" s="45" t="s">
        <v>142</v>
      </c>
    </row>
    <row r="47" spans="1:26" x14ac:dyDescent="0.2">
      <c r="A47" s="18">
        <v>2.6</v>
      </c>
      <c r="B47" s="7">
        <f>B5</f>
        <v>13</v>
      </c>
      <c r="C47" s="27">
        <f>C67+C68+C69+C70+C71+C72+C73+C74+C75+C76+C77+C78+C79+C80+C81+C83+C88+C89+C90+C82</f>
        <v>616.202</v>
      </c>
      <c r="D47" s="8">
        <f>E67+E68++E70+E71+E72+E73+E74+E75+E76+E77+E78+E79+E80+E81+E88+E89+E90</f>
        <v>717.5</v>
      </c>
      <c r="E47" s="11">
        <f>J111</f>
        <v>47.5</v>
      </c>
      <c r="F47" s="11">
        <f>J112</f>
        <v>16</v>
      </c>
      <c r="G47" s="7">
        <f>J113</f>
        <v>0</v>
      </c>
      <c r="H47" s="7">
        <f>J114</f>
        <v>0</v>
      </c>
      <c r="I47" s="11">
        <f>J115</f>
        <v>0</v>
      </c>
      <c r="J47" s="11">
        <f>J116</f>
        <v>0</v>
      </c>
      <c r="K47" s="7">
        <f>J117</f>
        <v>0</v>
      </c>
    </row>
    <row r="48" spans="1:26" x14ac:dyDescent="0.2">
      <c r="A48" s="3">
        <f>A47</f>
        <v>2.6</v>
      </c>
      <c r="B48" s="1">
        <f>B47</f>
        <v>13</v>
      </c>
      <c r="C48" s="1">
        <f>(C47+D47+100)/100</f>
        <v>14.337020000000001</v>
      </c>
      <c r="E48" s="1">
        <f>(E47*(1+F47/100)+G47*(1+H47/100)+I47*(1+J47/100)+K47+100)/100</f>
        <v>1.5509999999999999</v>
      </c>
    </row>
    <row r="49" spans="1:19" x14ac:dyDescent="0.2">
      <c r="A49" s="3"/>
    </row>
    <row r="50" spans="1:19" x14ac:dyDescent="0.2">
      <c r="A50" s="19"/>
      <c r="B50" s="13" t="s">
        <v>15</v>
      </c>
    </row>
    <row r="51" spans="1:19" x14ac:dyDescent="0.2">
      <c r="A51" s="19" t="s">
        <v>39</v>
      </c>
      <c r="B51" s="4">
        <f>A48*C48*E48</f>
        <v>57.815466852000007</v>
      </c>
    </row>
    <row r="52" spans="1:19" x14ac:dyDescent="0.2">
      <c r="A52" s="19" t="s">
        <v>41</v>
      </c>
      <c r="B52" s="4">
        <f>B51*B48</f>
        <v>751.60106907600004</v>
      </c>
    </row>
    <row r="53" spans="1:19" x14ac:dyDescent="0.2">
      <c r="A53" s="19" t="s">
        <v>43</v>
      </c>
      <c r="B53" s="4">
        <f>B52*9</f>
        <v>6764.4096216840007</v>
      </c>
    </row>
    <row r="54" spans="1:19" x14ac:dyDescent="0.2">
      <c r="A54" s="3"/>
    </row>
    <row r="55" spans="1:19" s="17" customFormat="1" x14ac:dyDescent="0.2">
      <c r="A55" s="44" t="s">
        <v>51</v>
      </c>
      <c r="B55" s="45"/>
      <c r="C55" s="45"/>
      <c r="D55" s="45"/>
      <c r="E55" s="45"/>
      <c r="F55" s="45"/>
      <c r="G55" s="45"/>
    </row>
    <row r="56" spans="1:19" s="17" customFormat="1" x14ac:dyDescent="0.2">
      <c r="A56" s="45" t="s">
        <v>45</v>
      </c>
      <c r="B56" s="45" t="s">
        <v>89</v>
      </c>
      <c r="C56" s="45" t="s">
        <v>5</v>
      </c>
      <c r="D56" s="45" t="s">
        <v>47</v>
      </c>
      <c r="E56" s="45" t="s">
        <v>103</v>
      </c>
      <c r="F56" s="45" t="s">
        <v>152</v>
      </c>
      <c r="G56" s="45" t="s">
        <v>153</v>
      </c>
      <c r="H56" s="45" t="s">
        <v>154</v>
      </c>
      <c r="I56" s="45" t="s">
        <v>155</v>
      </c>
      <c r="J56" s="45" t="s">
        <v>156</v>
      </c>
      <c r="K56" s="45" t="s">
        <v>114</v>
      </c>
      <c r="L56" s="45" t="s">
        <v>108</v>
      </c>
      <c r="M56" s="45" t="s">
        <v>145</v>
      </c>
      <c r="N56" s="45" t="s">
        <v>146</v>
      </c>
      <c r="O56" s="45" t="s">
        <v>147</v>
      </c>
      <c r="P56" s="45" t="s">
        <v>148</v>
      </c>
      <c r="Q56" s="45" t="s">
        <v>149</v>
      </c>
      <c r="R56" s="45" t="s">
        <v>125</v>
      </c>
    </row>
    <row r="57" spans="1:19" x14ac:dyDescent="0.2">
      <c r="A57" s="9">
        <f>G67+G68+G70+G71+G72+G73+G74+G75+G76+G77+G78+G79+G80+G81+G82</f>
        <v>41</v>
      </c>
      <c r="B57" s="9">
        <f>I67+I68+I69+I70+I71+I72+I73+I74+I75+I76+I77+I78+I79+I80+I81</f>
        <v>121.5</v>
      </c>
      <c r="C57" s="8">
        <f>E69</f>
        <v>0</v>
      </c>
      <c r="D57" s="11">
        <f>J118</f>
        <v>0</v>
      </c>
      <c r="E57" s="11">
        <f>J119</f>
        <v>0</v>
      </c>
      <c r="F57" s="7">
        <f>J120</f>
        <v>0</v>
      </c>
      <c r="G57" s="7">
        <f>J121</f>
        <v>0</v>
      </c>
      <c r="H57" s="11">
        <f>J122</f>
        <v>0</v>
      </c>
      <c r="I57" s="11">
        <f>J123</f>
        <v>0</v>
      </c>
      <c r="J57" s="11">
        <f>J124</f>
        <v>0</v>
      </c>
      <c r="K57" s="43">
        <f>J125</f>
        <v>0</v>
      </c>
      <c r="L57" s="43">
        <f>J126</f>
        <v>0</v>
      </c>
      <c r="M57" s="43">
        <f>J127</f>
        <v>0</v>
      </c>
      <c r="N57" s="43">
        <f>J128</f>
        <v>0</v>
      </c>
      <c r="O57" s="43">
        <f>J129</f>
        <v>0</v>
      </c>
      <c r="P57" s="43">
        <f>J130</f>
        <v>0</v>
      </c>
      <c r="Q57" s="43">
        <f>J131</f>
        <v>0</v>
      </c>
      <c r="R57" s="43">
        <f>K57*(L57/100+1)+M57*(1+N57/100)+O57*(1+P57/100)+Q57</f>
        <v>0</v>
      </c>
    </row>
    <row r="58" spans="1:19" x14ac:dyDescent="0.2">
      <c r="A58" s="3">
        <f>100/(A57+B57+R57+100)</f>
        <v>0.38095238095238093</v>
      </c>
      <c r="C58" s="1">
        <f>100/(C57+100)</f>
        <v>1</v>
      </c>
      <c r="D58" s="1">
        <f>100/(D57*(1+E57/100)+F57*(1+G57/100)+H57*(1+I57/100)+J57+100)</f>
        <v>1</v>
      </c>
    </row>
    <row r="59" spans="1:19" x14ac:dyDescent="0.2">
      <c r="A59" s="3"/>
    </row>
    <row r="60" spans="1:19" x14ac:dyDescent="0.2">
      <c r="A60" s="19"/>
      <c r="B60" s="13" t="s">
        <v>15</v>
      </c>
      <c r="C60" s="13" t="s">
        <v>16</v>
      </c>
      <c r="D60" s="13" t="s">
        <v>48</v>
      </c>
      <c r="L60" s="17"/>
      <c r="M60" s="17"/>
      <c r="N60" s="17"/>
      <c r="O60" s="17"/>
      <c r="P60" s="17"/>
      <c r="Q60" s="17"/>
      <c r="R60" s="17"/>
      <c r="S60" s="17"/>
    </row>
    <row r="61" spans="1:19" x14ac:dyDescent="0.2">
      <c r="A61" s="19" t="s">
        <v>19</v>
      </c>
      <c r="B61" s="20">
        <f>B41*A58*C58*D58</f>
        <v>174.66411428282981</v>
      </c>
      <c r="C61" s="4">
        <f>C41*A58*C58*D58</f>
        <v>420.87738381404779</v>
      </c>
      <c r="D61" s="4">
        <f>C61/B51</f>
        <v>7.279667651762435</v>
      </c>
    </row>
    <row r="62" spans="1:19" x14ac:dyDescent="0.2">
      <c r="A62" s="19" t="s">
        <v>20</v>
      </c>
      <c r="B62" s="4">
        <f>B42*A58*C58*D58</f>
        <v>145.32054308331445</v>
      </c>
      <c r="C62" s="4">
        <f>C42*A58*C58*D58</f>
        <v>243.71830839996818</v>
      </c>
      <c r="D62" s="4">
        <f>C62/B51</f>
        <v>4.2154517064413746</v>
      </c>
    </row>
    <row r="63" spans="1:19" x14ac:dyDescent="0.2">
      <c r="A63" s="19" t="s">
        <v>24</v>
      </c>
      <c r="B63" s="6" t="s">
        <v>25</v>
      </c>
      <c r="C63" s="4">
        <f>C43*A58*C58*D58</f>
        <v>664.59569221401591</v>
      </c>
      <c r="D63" s="4">
        <f>C63/B51</f>
        <v>11.495119358203809</v>
      </c>
      <c r="G63" s="28"/>
      <c r="H63" s="26"/>
    </row>
    <row r="64" spans="1:19" x14ac:dyDescent="0.2">
      <c r="B64" s="69" t="s">
        <v>52</v>
      </c>
      <c r="C64" s="69"/>
      <c r="D64" s="1">
        <f>B53/C63</f>
        <v>10.178232722437956</v>
      </c>
      <c r="E64" s="1" t="s">
        <v>50</v>
      </c>
    </row>
    <row r="65" spans="1:19" x14ac:dyDescent="0.2">
      <c r="K65" s="17"/>
      <c r="L65" s="17"/>
      <c r="M65" s="17"/>
      <c r="N65" s="17"/>
      <c r="O65" s="17"/>
      <c r="P65" s="17"/>
      <c r="Q65" s="17"/>
      <c r="R65" s="17"/>
      <c r="S65" s="17"/>
    </row>
    <row r="66" spans="1:19" x14ac:dyDescent="0.2">
      <c r="A66" s="35" t="s">
        <v>80</v>
      </c>
      <c r="B66" s="35" t="s">
        <v>63</v>
      </c>
      <c r="C66" s="36" t="s">
        <v>76</v>
      </c>
      <c r="D66" s="35" t="s">
        <v>77</v>
      </c>
      <c r="E66" s="35" t="s">
        <v>78</v>
      </c>
      <c r="F66" s="35" t="s">
        <v>87</v>
      </c>
      <c r="G66" s="35" t="s">
        <v>88</v>
      </c>
      <c r="H66" s="35" t="s">
        <v>85</v>
      </c>
      <c r="I66" s="35" t="s">
        <v>89</v>
      </c>
      <c r="J66" s="35" t="s">
        <v>104</v>
      </c>
      <c r="K66" s="46" t="s">
        <v>119</v>
      </c>
      <c r="L66" s="17"/>
      <c r="M66" s="17"/>
      <c r="N66" s="17"/>
      <c r="O66" s="17"/>
      <c r="P66" s="17"/>
      <c r="Q66" s="17"/>
      <c r="R66" s="17"/>
      <c r="S66" s="17"/>
    </row>
    <row r="67" spans="1:19" x14ac:dyDescent="0.2">
      <c r="A67" s="1" t="s">
        <v>3</v>
      </c>
      <c r="D67" s="1">
        <v>60</v>
      </c>
      <c r="E67" s="1">
        <v>60</v>
      </c>
      <c r="H67" s="1">
        <v>27.5</v>
      </c>
      <c r="I67" s="1">
        <v>30</v>
      </c>
    </row>
    <row r="68" spans="1:19" x14ac:dyDescent="0.2">
      <c r="A68" s="1" t="s">
        <v>4</v>
      </c>
      <c r="D68" s="1">
        <v>300</v>
      </c>
      <c r="E68" s="1">
        <v>300</v>
      </c>
      <c r="H68" s="1">
        <v>50</v>
      </c>
      <c r="I68" s="1">
        <v>50</v>
      </c>
    </row>
    <row r="69" spans="1:19" x14ac:dyDescent="0.2">
      <c r="A69" s="1" t="s">
        <v>5</v>
      </c>
    </row>
    <row r="70" spans="1:19" x14ac:dyDescent="0.2">
      <c r="A70" s="1" t="s">
        <v>79</v>
      </c>
      <c r="B70" s="1">
        <v>34</v>
      </c>
      <c r="L70" s="17"/>
      <c r="M70" s="17"/>
      <c r="N70" s="17"/>
      <c r="O70" s="17"/>
      <c r="P70" s="17"/>
      <c r="Q70" s="17"/>
      <c r="R70" s="17"/>
      <c r="S70" s="17"/>
    </row>
    <row r="71" spans="1:19" x14ac:dyDescent="0.2">
      <c r="A71" s="1" t="s">
        <v>6</v>
      </c>
      <c r="B71" s="1">
        <v>220</v>
      </c>
      <c r="C71" s="1">
        <v>330</v>
      </c>
      <c r="D71" s="1">
        <v>220</v>
      </c>
      <c r="E71" s="1">
        <v>330</v>
      </c>
    </row>
    <row r="72" spans="1:19" x14ac:dyDescent="0.2">
      <c r="A72" s="1" t="s">
        <v>74</v>
      </c>
    </row>
    <row r="73" spans="1:19" x14ac:dyDescent="0.2">
      <c r="A73" s="1" t="s">
        <v>7</v>
      </c>
      <c r="B73" s="1">
        <v>20</v>
      </c>
      <c r="D73" s="1">
        <v>15</v>
      </c>
      <c r="F73" s="1">
        <v>30</v>
      </c>
      <c r="I73" s="1">
        <v>35</v>
      </c>
    </row>
    <row r="74" spans="1:19" x14ac:dyDescent="0.2">
      <c r="A74" s="1" t="s">
        <v>8</v>
      </c>
      <c r="D74" s="1">
        <v>14.5</v>
      </c>
      <c r="E74" s="1">
        <v>14.5</v>
      </c>
    </row>
    <row r="75" spans="1:19" x14ac:dyDescent="0.2">
      <c r="A75" s="1" t="s">
        <v>67</v>
      </c>
      <c r="B75" s="1">
        <v>6</v>
      </c>
      <c r="C75" s="1">
        <v>6</v>
      </c>
      <c r="E75" s="1">
        <v>3</v>
      </c>
      <c r="I75" s="1">
        <v>6.5</v>
      </c>
    </row>
    <row r="76" spans="1:19" x14ac:dyDescent="0.2">
      <c r="A76" s="1" t="s">
        <v>75</v>
      </c>
      <c r="L76" s="17"/>
      <c r="M76" s="17"/>
      <c r="N76" s="17"/>
      <c r="O76" s="17"/>
      <c r="P76" s="17"/>
      <c r="Q76" s="17"/>
      <c r="R76" s="17"/>
      <c r="S76" s="17"/>
    </row>
    <row r="77" spans="1:19" x14ac:dyDescent="0.2">
      <c r="A77" s="1" t="s">
        <v>68</v>
      </c>
      <c r="B77" s="1">
        <v>15</v>
      </c>
    </row>
    <row r="78" spans="1:19" x14ac:dyDescent="0.2">
      <c r="A78" s="1" t="s">
        <v>69</v>
      </c>
      <c r="B78" s="1">
        <v>3</v>
      </c>
      <c r="C78" s="1">
        <v>3</v>
      </c>
      <c r="F78" s="1">
        <v>0</v>
      </c>
      <c r="G78" s="1">
        <v>3</v>
      </c>
    </row>
    <row r="79" spans="1:19" x14ac:dyDescent="0.2">
      <c r="A79" s="1" t="s">
        <v>70</v>
      </c>
    </row>
    <row r="80" spans="1:19" x14ac:dyDescent="0.2">
      <c r="A80" s="1" t="s">
        <v>71</v>
      </c>
      <c r="F80" s="1">
        <v>0</v>
      </c>
      <c r="G80" s="1">
        <v>30</v>
      </c>
    </row>
    <row r="81" spans="1:8" x14ac:dyDescent="0.2">
      <c r="A81" s="1" t="s">
        <v>72</v>
      </c>
      <c r="B81" s="1">
        <v>173</v>
      </c>
      <c r="C81" s="1">
        <v>128</v>
      </c>
      <c r="D81" s="1">
        <v>49</v>
      </c>
      <c r="E81" s="1">
        <v>10</v>
      </c>
      <c r="F81" s="1">
        <v>3</v>
      </c>
      <c r="G81" s="61">
        <v>8</v>
      </c>
      <c r="H81" s="1">
        <v>10</v>
      </c>
    </row>
    <row r="82" spans="1:8" x14ac:dyDescent="0.2">
      <c r="A82" s="1" t="s">
        <v>160</v>
      </c>
      <c r="G82" s="61"/>
    </row>
    <row r="83" spans="1:8" x14ac:dyDescent="0.2">
      <c r="A83" s="1" t="s">
        <v>90</v>
      </c>
      <c r="B83" s="1">
        <v>14.5</v>
      </c>
      <c r="C83" s="1">
        <v>14.5</v>
      </c>
    </row>
    <row r="84" spans="1:8" x14ac:dyDescent="0.2">
      <c r="A84" s="1" t="s">
        <v>73</v>
      </c>
    </row>
    <row r="85" spans="1:8" x14ac:dyDescent="0.2">
      <c r="A85" s="1" t="s">
        <v>34</v>
      </c>
      <c r="B85" s="26">
        <v>50.518000000000001</v>
      </c>
    </row>
    <row r="86" spans="1:8" x14ac:dyDescent="0.2">
      <c r="A86" s="1" t="s">
        <v>81</v>
      </c>
      <c r="B86" s="26">
        <v>76.581999999999994</v>
      </c>
    </row>
    <row r="87" spans="1:8" x14ac:dyDescent="0.2">
      <c r="A87" s="1" t="s">
        <v>82</v>
      </c>
      <c r="B87" s="26"/>
    </row>
    <row r="88" spans="1:8" x14ac:dyDescent="0.2">
      <c r="A88" s="1" t="s">
        <v>35</v>
      </c>
      <c r="C88" s="26">
        <v>45.643999999999998</v>
      </c>
    </row>
    <row r="89" spans="1:8" x14ac:dyDescent="0.2">
      <c r="A89" s="1" t="s">
        <v>83</v>
      </c>
      <c r="C89" s="26">
        <v>20.378</v>
      </c>
    </row>
    <row r="90" spans="1:8" x14ac:dyDescent="0.2">
      <c r="A90" s="1" t="s">
        <v>84</v>
      </c>
      <c r="C90" s="26">
        <v>68.680000000000007</v>
      </c>
    </row>
    <row r="91" spans="1:8" x14ac:dyDescent="0.2">
      <c r="A91" s="1" t="s">
        <v>86</v>
      </c>
    </row>
    <row r="92" spans="1:8" x14ac:dyDescent="0.2">
      <c r="A92" s="1" t="s">
        <v>92</v>
      </c>
    </row>
    <row r="93" spans="1:8" x14ac:dyDescent="0.2">
      <c r="A93" s="1" t="s">
        <v>93</v>
      </c>
    </row>
    <row r="94" spans="1:8" x14ac:dyDescent="0.2">
      <c r="A94" s="1" t="s">
        <v>94</v>
      </c>
    </row>
    <row r="95" spans="1:8" x14ac:dyDescent="0.2">
      <c r="A95" s="1" t="s">
        <v>95</v>
      </c>
    </row>
    <row r="96" spans="1:8" x14ac:dyDescent="0.2">
      <c r="A96" s="1" t="s">
        <v>129</v>
      </c>
    </row>
    <row r="97" spans="1:10" x14ac:dyDescent="0.2">
      <c r="A97" s="1" t="s">
        <v>132</v>
      </c>
    </row>
    <row r="98" spans="1:10" x14ac:dyDescent="0.2">
      <c r="A98" s="1" t="s">
        <v>141</v>
      </c>
    </row>
    <row r="99" spans="1:10" x14ac:dyDescent="0.2">
      <c r="A99" s="1" t="s">
        <v>96</v>
      </c>
      <c r="J99" s="1">
        <v>68</v>
      </c>
    </row>
    <row r="100" spans="1:10" x14ac:dyDescent="0.2">
      <c r="A100" s="1" t="s">
        <v>13</v>
      </c>
      <c r="J100" s="1">
        <v>5</v>
      </c>
    </row>
    <row r="101" spans="1:10" x14ac:dyDescent="0.2">
      <c r="A101" s="1" t="s">
        <v>14</v>
      </c>
      <c r="J101" s="1">
        <v>20</v>
      </c>
    </row>
    <row r="102" spans="1:10" x14ac:dyDescent="0.2">
      <c r="A102" s="1" t="s">
        <v>97</v>
      </c>
      <c r="J102" s="1">
        <v>16</v>
      </c>
    </row>
    <row r="103" spans="1:10" x14ac:dyDescent="0.2">
      <c r="A103" s="1" t="s">
        <v>98</v>
      </c>
      <c r="J103" s="1">
        <v>77.599999999999994</v>
      </c>
    </row>
    <row r="104" spans="1:10" x14ac:dyDescent="0.2">
      <c r="A104" s="1" t="s">
        <v>105</v>
      </c>
      <c r="J104" s="1">
        <v>3</v>
      </c>
    </row>
    <row r="105" spans="1:10" x14ac:dyDescent="0.2">
      <c r="A105" s="1" t="s">
        <v>106</v>
      </c>
      <c r="J105" s="1">
        <v>25</v>
      </c>
    </row>
    <row r="106" spans="1:10" x14ac:dyDescent="0.2">
      <c r="A106" s="1" t="s">
        <v>99</v>
      </c>
      <c r="J106" s="1">
        <v>16</v>
      </c>
    </row>
    <row r="107" spans="1:10" x14ac:dyDescent="0.2">
      <c r="A107" s="1" t="s">
        <v>133</v>
      </c>
    </row>
    <row r="108" spans="1:10" x14ac:dyDescent="0.2">
      <c r="A108" s="1" t="s">
        <v>159</v>
      </c>
    </row>
    <row r="109" spans="1:10" x14ac:dyDescent="0.2">
      <c r="A109" s="1" t="s">
        <v>135</v>
      </c>
    </row>
    <row r="110" spans="1:10" x14ac:dyDescent="0.2">
      <c r="A110" s="1" t="s">
        <v>136</v>
      </c>
    </row>
    <row r="111" spans="1:10" x14ac:dyDescent="0.2">
      <c r="A111" s="1" t="s">
        <v>100</v>
      </c>
      <c r="J111" s="1">
        <v>47.5</v>
      </c>
    </row>
    <row r="112" spans="1:10" x14ac:dyDescent="0.2">
      <c r="A112" s="1" t="s">
        <v>101</v>
      </c>
      <c r="J112" s="1">
        <v>16</v>
      </c>
    </row>
    <row r="113" spans="1:1" x14ac:dyDescent="0.2">
      <c r="A113" s="1" t="s">
        <v>143</v>
      </c>
    </row>
    <row r="114" spans="1:1" x14ac:dyDescent="0.2">
      <c r="A114" s="1" t="s">
        <v>138</v>
      </c>
    </row>
    <row r="115" spans="1:1" x14ac:dyDescent="0.2">
      <c r="A115" s="1" t="s">
        <v>144</v>
      </c>
    </row>
    <row r="116" spans="1:1" x14ac:dyDescent="0.2">
      <c r="A116" s="1" t="s">
        <v>140</v>
      </c>
    </row>
    <row r="117" spans="1:1" x14ac:dyDescent="0.2">
      <c r="A117" s="1" t="s">
        <v>142</v>
      </c>
    </row>
    <row r="118" spans="1:1" x14ac:dyDescent="0.2">
      <c r="A118" s="1" t="s">
        <v>102</v>
      </c>
    </row>
    <row r="119" spans="1:1" x14ac:dyDescent="0.2">
      <c r="A119" s="1" t="s">
        <v>103</v>
      </c>
    </row>
    <row r="120" spans="1:1" x14ac:dyDescent="0.2">
      <c r="A120" s="1" t="s">
        <v>157</v>
      </c>
    </row>
    <row r="121" spans="1:1" x14ac:dyDescent="0.2">
      <c r="A121" s="1" t="s">
        <v>153</v>
      </c>
    </row>
    <row r="122" spans="1:1" x14ac:dyDescent="0.2">
      <c r="A122" s="1" t="s">
        <v>158</v>
      </c>
    </row>
    <row r="123" spans="1:1" x14ac:dyDescent="0.2">
      <c r="A123" s="1" t="s">
        <v>155</v>
      </c>
    </row>
    <row r="124" spans="1:1" x14ac:dyDescent="0.2">
      <c r="A124" s="1" t="s">
        <v>156</v>
      </c>
    </row>
    <row r="125" spans="1:1" x14ac:dyDescent="0.2">
      <c r="A125" s="1" t="s">
        <v>107</v>
      </c>
    </row>
    <row r="126" spans="1:1" x14ac:dyDescent="0.2">
      <c r="A126" s="1" t="s">
        <v>108</v>
      </c>
    </row>
    <row r="127" spans="1:1" x14ac:dyDescent="0.2">
      <c r="A127" s="1" t="s">
        <v>150</v>
      </c>
    </row>
    <row r="128" spans="1:1" x14ac:dyDescent="0.2">
      <c r="A128" s="1" t="s">
        <v>146</v>
      </c>
    </row>
    <row r="129" spans="1:11" x14ac:dyDescent="0.2">
      <c r="A129" s="1" t="s">
        <v>151</v>
      </c>
    </row>
    <row r="130" spans="1:11" x14ac:dyDescent="0.2">
      <c r="A130" s="1" t="s">
        <v>148</v>
      </c>
    </row>
    <row r="131" spans="1:11" x14ac:dyDescent="0.2">
      <c r="A131" s="1" t="s">
        <v>149</v>
      </c>
    </row>
    <row r="132" spans="1:11" x14ac:dyDescent="0.2">
      <c r="A132" s="1" t="s">
        <v>119</v>
      </c>
      <c r="K132" s="1">
        <v>117</v>
      </c>
    </row>
    <row r="134" spans="1:11" x14ac:dyDescent="0.2">
      <c r="A134" s="65" t="s">
        <v>91</v>
      </c>
      <c r="B134" s="65" t="s">
        <v>63</v>
      </c>
      <c r="C134" s="66" t="s">
        <v>76</v>
      </c>
      <c r="D134" s="65" t="s">
        <v>36</v>
      </c>
      <c r="E134" s="65" t="s">
        <v>30</v>
      </c>
      <c r="F134" s="65" t="s">
        <v>87</v>
      </c>
      <c r="G134" s="65" t="s">
        <v>88</v>
      </c>
      <c r="H134" s="65" t="s">
        <v>10</v>
      </c>
      <c r="I134" s="65" t="s">
        <v>46</v>
      </c>
      <c r="J134" s="65" t="s">
        <v>104</v>
      </c>
      <c r="K134" s="65" t="s">
        <v>119</v>
      </c>
    </row>
    <row r="135" spans="1:11" x14ac:dyDescent="0.2">
      <c r="A135" s="1" t="s">
        <v>3</v>
      </c>
      <c r="D135" s="1">
        <v>120</v>
      </c>
      <c r="E135" s="1">
        <v>60</v>
      </c>
      <c r="H135" s="1">
        <v>37.5</v>
      </c>
      <c r="I135" s="1">
        <v>15</v>
      </c>
    </row>
    <row r="136" spans="1:11" x14ac:dyDescent="0.2">
      <c r="A136" s="1" t="s">
        <v>4</v>
      </c>
      <c r="D136" s="1">
        <v>300</v>
      </c>
      <c r="E136" s="1">
        <v>300</v>
      </c>
      <c r="H136" s="1">
        <v>50</v>
      </c>
      <c r="I136" s="1">
        <v>50</v>
      </c>
    </row>
    <row r="137" spans="1:11" x14ac:dyDescent="0.2">
      <c r="A137" s="1" t="s">
        <v>5</v>
      </c>
      <c r="D137" s="1">
        <v>88.8</v>
      </c>
      <c r="E137" s="1">
        <v>90</v>
      </c>
    </row>
    <row r="138" spans="1:11" x14ac:dyDescent="0.2">
      <c r="A138" s="1" t="s">
        <v>79</v>
      </c>
      <c r="B138" s="1">
        <v>34.5</v>
      </c>
    </row>
    <row r="139" spans="1:11" x14ac:dyDescent="0.2">
      <c r="A139" s="1" t="s">
        <v>6</v>
      </c>
      <c r="B139" s="1">
        <v>330</v>
      </c>
      <c r="C139" s="1">
        <v>330</v>
      </c>
      <c r="D139" s="1">
        <v>330</v>
      </c>
      <c r="E139" s="1">
        <v>330</v>
      </c>
    </row>
    <row r="140" spans="1:11" x14ac:dyDescent="0.2">
      <c r="A140" s="1" t="s">
        <v>74</v>
      </c>
      <c r="F140" s="1">
        <v>5</v>
      </c>
    </row>
    <row r="141" spans="1:11" x14ac:dyDescent="0.2">
      <c r="A141" s="1" t="s">
        <v>7</v>
      </c>
      <c r="D141" s="1">
        <v>18</v>
      </c>
      <c r="F141" s="1">
        <v>20</v>
      </c>
      <c r="I141" s="1">
        <v>35</v>
      </c>
    </row>
    <row r="142" spans="1:11" x14ac:dyDescent="0.2">
      <c r="A142" s="1" t="s">
        <v>8</v>
      </c>
      <c r="D142" s="1">
        <v>20.5</v>
      </c>
      <c r="E142" s="1">
        <v>14.5</v>
      </c>
    </row>
    <row r="143" spans="1:11" x14ac:dyDescent="0.2">
      <c r="A143" s="1" t="s">
        <v>67</v>
      </c>
      <c r="B143" s="1">
        <v>3</v>
      </c>
      <c r="C143" s="1">
        <v>6</v>
      </c>
      <c r="D143" s="1">
        <v>3</v>
      </c>
      <c r="E143" s="1">
        <v>3</v>
      </c>
      <c r="I143" s="1">
        <v>3</v>
      </c>
    </row>
    <row r="144" spans="1:11" x14ac:dyDescent="0.2">
      <c r="A144" s="1" t="s">
        <v>75</v>
      </c>
    </row>
    <row r="145" spans="1:10" x14ac:dyDescent="0.2">
      <c r="A145" s="1" t="s">
        <v>68</v>
      </c>
    </row>
    <row r="146" spans="1:10" x14ac:dyDescent="0.2">
      <c r="A146" s="1" t="s">
        <v>69</v>
      </c>
      <c r="B146" s="1">
        <v>3</v>
      </c>
      <c r="C146" s="1">
        <v>3</v>
      </c>
      <c r="F146" s="1">
        <v>3</v>
      </c>
      <c r="G146" s="1">
        <v>3</v>
      </c>
    </row>
    <row r="147" spans="1:10" x14ac:dyDescent="0.2">
      <c r="A147" s="1" t="s">
        <v>70</v>
      </c>
    </row>
    <row r="148" spans="1:10" x14ac:dyDescent="0.2">
      <c r="A148" s="1" t="s">
        <v>71</v>
      </c>
    </row>
    <row r="149" spans="1:10" x14ac:dyDescent="0.2">
      <c r="A149" s="1" t="s">
        <v>72</v>
      </c>
      <c r="B149" s="1">
        <v>115</v>
      </c>
      <c r="C149" s="1">
        <v>138</v>
      </c>
      <c r="D149" s="1">
        <v>76</v>
      </c>
      <c r="E149" s="1">
        <v>10</v>
      </c>
      <c r="G149" s="1">
        <v>6</v>
      </c>
    </row>
    <row r="150" spans="1:10" x14ac:dyDescent="0.2">
      <c r="A150" s="1" t="s">
        <v>160</v>
      </c>
    </row>
    <row r="151" spans="1:10" x14ac:dyDescent="0.2">
      <c r="A151" s="1" t="s">
        <v>90</v>
      </c>
      <c r="B151" s="1">
        <v>16</v>
      </c>
      <c r="C151" s="1">
        <v>14.5</v>
      </c>
    </row>
    <row r="152" spans="1:10" x14ac:dyDescent="0.2">
      <c r="A152" s="1" t="s">
        <v>73</v>
      </c>
      <c r="B152" s="1">
        <v>10</v>
      </c>
    </row>
    <row r="153" spans="1:10" x14ac:dyDescent="0.2">
      <c r="A153" s="1" t="s">
        <v>34</v>
      </c>
      <c r="B153" s="26">
        <v>84.25</v>
      </c>
    </row>
    <row r="154" spans="1:10" x14ac:dyDescent="0.2">
      <c r="A154" s="1" t="s">
        <v>81</v>
      </c>
      <c r="B154" s="26">
        <v>58.57</v>
      </c>
    </row>
    <row r="155" spans="1:10" x14ac:dyDescent="0.2">
      <c r="A155" s="1" t="s">
        <v>82</v>
      </c>
      <c r="B155" s="26">
        <v>81.763000000000005</v>
      </c>
    </row>
    <row r="156" spans="1:10" x14ac:dyDescent="0.2">
      <c r="A156" s="1" t="s">
        <v>35</v>
      </c>
      <c r="C156" s="26">
        <v>20.367999999999999</v>
      </c>
    </row>
    <row r="157" spans="1:10" x14ac:dyDescent="0.2">
      <c r="A157" s="1" t="s">
        <v>83</v>
      </c>
      <c r="C157" s="26">
        <v>44.506</v>
      </c>
    </row>
    <row r="158" spans="1:10" x14ac:dyDescent="0.2">
      <c r="A158" s="1" t="s">
        <v>84</v>
      </c>
      <c r="C158" s="26">
        <v>22.62</v>
      </c>
    </row>
    <row r="159" spans="1:10" x14ac:dyDescent="0.2">
      <c r="A159" s="1" t="s">
        <v>86</v>
      </c>
    </row>
    <row r="160" spans="1:10" x14ac:dyDescent="0.2">
      <c r="A160" s="1" t="s">
        <v>92</v>
      </c>
      <c r="J160" s="1">
        <v>73.7</v>
      </c>
    </row>
    <row r="161" spans="1:10" x14ac:dyDescent="0.2">
      <c r="A161" s="1" t="s">
        <v>93</v>
      </c>
      <c r="J161" s="1">
        <v>16</v>
      </c>
    </row>
    <row r="162" spans="1:10" x14ac:dyDescent="0.2">
      <c r="A162" s="1" t="s">
        <v>94</v>
      </c>
      <c r="J162" s="1">
        <v>29.1</v>
      </c>
    </row>
    <row r="163" spans="1:10" x14ac:dyDescent="0.2">
      <c r="A163" s="1" t="s">
        <v>95</v>
      </c>
      <c r="J163" s="1">
        <v>11</v>
      </c>
    </row>
    <row r="164" spans="1:10" x14ac:dyDescent="0.2">
      <c r="A164" s="1" t="s">
        <v>129</v>
      </c>
    </row>
    <row r="165" spans="1:10" x14ac:dyDescent="0.2">
      <c r="A165" s="1" t="s">
        <v>132</v>
      </c>
    </row>
    <row r="166" spans="1:10" x14ac:dyDescent="0.2">
      <c r="A166" s="1" t="s">
        <v>141</v>
      </c>
    </row>
    <row r="167" spans="1:10" x14ac:dyDescent="0.2">
      <c r="A167" s="1" t="s">
        <v>96</v>
      </c>
      <c r="J167" s="1">
        <v>83.2</v>
      </c>
    </row>
    <row r="168" spans="1:10" x14ac:dyDescent="0.2">
      <c r="A168" s="1" t="s">
        <v>13</v>
      </c>
      <c r="J168" s="1">
        <v>3</v>
      </c>
    </row>
    <row r="169" spans="1:10" x14ac:dyDescent="0.2">
      <c r="A169" s="1" t="s">
        <v>14</v>
      </c>
      <c r="J169" s="1">
        <v>20</v>
      </c>
    </row>
    <row r="170" spans="1:10" x14ac:dyDescent="0.2">
      <c r="A170" s="1" t="s">
        <v>97</v>
      </c>
      <c r="J170" s="1">
        <v>16</v>
      </c>
    </row>
    <row r="171" spans="1:10" x14ac:dyDescent="0.2">
      <c r="A171" s="1" t="s">
        <v>98</v>
      </c>
    </row>
    <row r="172" spans="1:10" x14ac:dyDescent="0.2">
      <c r="A172" s="1" t="s">
        <v>105</v>
      </c>
    </row>
    <row r="173" spans="1:10" x14ac:dyDescent="0.2">
      <c r="A173" s="1" t="s">
        <v>106</v>
      </c>
    </row>
    <row r="174" spans="1:10" x14ac:dyDescent="0.2">
      <c r="A174" s="1" t="s">
        <v>99</v>
      </c>
    </row>
    <row r="175" spans="1:10" x14ac:dyDescent="0.2">
      <c r="A175" s="1" t="s">
        <v>133</v>
      </c>
    </row>
    <row r="176" spans="1:10" x14ac:dyDescent="0.2">
      <c r="A176" s="1" t="s">
        <v>159</v>
      </c>
    </row>
    <row r="177" spans="1:10" x14ac:dyDescent="0.2">
      <c r="A177" s="1" t="s">
        <v>135</v>
      </c>
    </row>
    <row r="178" spans="1:10" x14ac:dyDescent="0.2">
      <c r="A178" s="1" t="s">
        <v>136</v>
      </c>
    </row>
    <row r="179" spans="1:10" x14ac:dyDescent="0.2">
      <c r="A179" s="1" t="s">
        <v>100</v>
      </c>
      <c r="J179" s="1">
        <v>27.8</v>
      </c>
    </row>
    <row r="180" spans="1:10" x14ac:dyDescent="0.2">
      <c r="A180" s="1" t="s">
        <v>101</v>
      </c>
      <c r="J180" s="1">
        <v>16</v>
      </c>
    </row>
    <row r="181" spans="1:10" x14ac:dyDescent="0.2">
      <c r="A181" s="1" t="s">
        <v>143</v>
      </c>
    </row>
    <row r="182" spans="1:10" x14ac:dyDescent="0.2">
      <c r="A182" s="1" t="s">
        <v>138</v>
      </c>
    </row>
    <row r="183" spans="1:10" x14ac:dyDescent="0.2">
      <c r="A183" s="1" t="s">
        <v>144</v>
      </c>
    </row>
    <row r="184" spans="1:10" x14ac:dyDescent="0.2">
      <c r="A184" s="1" t="s">
        <v>140</v>
      </c>
    </row>
    <row r="185" spans="1:10" x14ac:dyDescent="0.2">
      <c r="A185" s="1" t="s">
        <v>142</v>
      </c>
    </row>
    <row r="186" spans="1:10" x14ac:dyDescent="0.2">
      <c r="A186" s="1" t="s">
        <v>102</v>
      </c>
    </row>
    <row r="187" spans="1:10" x14ac:dyDescent="0.2">
      <c r="A187" s="1" t="s">
        <v>103</v>
      </c>
    </row>
    <row r="188" spans="1:10" x14ac:dyDescent="0.2">
      <c r="A188" s="1" t="s">
        <v>157</v>
      </c>
    </row>
    <row r="189" spans="1:10" x14ac:dyDescent="0.2">
      <c r="A189" s="1" t="s">
        <v>153</v>
      </c>
    </row>
    <row r="190" spans="1:10" x14ac:dyDescent="0.2">
      <c r="A190" s="1" t="s">
        <v>158</v>
      </c>
    </row>
    <row r="191" spans="1:10" x14ac:dyDescent="0.2">
      <c r="A191" s="1" t="s">
        <v>155</v>
      </c>
    </row>
    <row r="192" spans="1:10" x14ac:dyDescent="0.2">
      <c r="A192" s="1" t="s">
        <v>156</v>
      </c>
    </row>
    <row r="193" spans="1:11" x14ac:dyDescent="0.2">
      <c r="A193" s="1" t="s">
        <v>107</v>
      </c>
    </row>
    <row r="194" spans="1:11" x14ac:dyDescent="0.2">
      <c r="A194" s="1" t="s">
        <v>108</v>
      </c>
    </row>
    <row r="195" spans="1:11" x14ac:dyDescent="0.2">
      <c r="A195" s="1" t="s">
        <v>150</v>
      </c>
    </row>
    <row r="196" spans="1:11" x14ac:dyDescent="0.2">
      <c r="A196" s="1" t="s">
        <v>146</v>
      </c>
    </row>
    <row r="197" spans="1:11" x14ac:dyDescent="0.2">
      <c r="A197" s="1" t="s">
        <v>147</v>
      </c>
    </row>
    <row r="198" spans="1:11" x14ac:dyDescent="0.2">
      <c r="A198" s="1" t="s">
        <v>148</v>
      </c>
    </row>
    <row r="199" spans="1:11" x14ac:dyDescent="0.2">
      <c r="A199" s="1" t="s">
        <v>149</v>
      </c>
    </row>
    <row r="200" spans="1:11" x14ac:dyDescent="0.2">
      <c r="A200" s="1" t="s">
        <v>119</v>
      </c>
      <c r="K200" s="1">
        <v>135</v>
      </c>
    </row>
  </sheetData>
  <mergeCells count="4">
    <mergeCell ref="B32:C32"/>
    <mergeCell ref="B64:C64"/>
    <mergeCell ref="B1:D1"/>
    <mergeCell ref="B2:E3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0679-9D1F-2B41-B7CF-9B8E530A4DC1}">
  <dimension ref="A1:H8"/>
  <sheetViews>
    <sheetView zoomScaleNormal="60" zoomScaleSheetLayoutView="100" workbookViewId="0">
      <selection activeCell="F8" sqref="F8"/>
    </sheetView>
  </sheetViews>
  <sheetFormatPr defaultRowHeight="14.25" x14ac:dyDescent="0.2"/>
  <cols>
    <col min="1" max="1" width="13.97265625" bestFit="1" customWidth="1"/>
    <col min="2" max="4" width="8.08984375" bestFit="1" customWidth="1"/>
    <col min="5" max="5" width="13.97265625" bestFit="1" customWidth="1"/>
    <col min="6" max="6" width="8.3359375" bestFit="1" customWidth="1"/>
    <col min="7" max="8" width="8.08984375" bestFit="1" customWidth="1"/>
  </cols>
  <sheetData>
    <row r="1" spans="1:8" x14ac:dyDescent="0.2">
      <c r="A1" s="34" t="s">
        <v>65</v>
      </c>
      <c r="B1" s="34" t="s">
        <v>33</v>
      </c>
      <c r="C1" s="34" t="s">
        <v>57</v>
      </c>
      <c r="D1" s="34" t="s">
        <v>58</v>
      </c>
      <c r="E1" s="51" t="s">
        <v>126</v>
      </c>
      <c r="F1" s="51" t="s">
        <v>33</v>
      </c>
      <c r="G1" s="51" t="s">
        <v>57</v>
      </c>
      <c r="H1" s="51" t="s">
        <v>58</v>
      </c>
    </row>
    <row r="2" spans="1:8" x14ac:dyDescent="0.2">
      <c r="A2" s="32" t="s">
        <v>56</v>
      </c>
      <c r="B2" s="32">
        <v>117.4</v>
      </c>
      <c r="C2" s="33">
        <v>55.753999999999998</v>
      </c>
      <c r="D2" s="33">
        <v>40.408000000000001</v>
      </c>
      <c r="E2" s="32" t="s">
        <v>56</v>
      </c>
      <c r="F2" s="32"/>
      <c r="G2" s="33"/>
      <c r="H2" s="33"/>
    </row>
    <row r="3" spans="1:8" x14ac:dyDescent="0.2">
      <c r="A3" s="32" t="s">
        <v>59</v>
      </c>
      <c r="B3" s="32">
        <v>47.5</v>
      </c>
      <c r="C3" s="33">
        <v>28.28</v>
      </c>
      <c r="D3" s="33">
        <v>68.680000000000007</v>
      </c>
      <c r="E3" s="32" t="s">
        <v>59</v>
      </c>
      <c r="F3" s="32"/>
      <c r="G3" s="33"/>
      <c r="H3" s="33"/>
    </row>
    <row r="4" spans="1:8" x14ac:dyDescent="0.2">
      <c r="A4" s="32" t="s">
        <v>66</v>
      </c>
      <c r="B4" s="32">
        <v>68</v>
      </c>
      <c r="C4" s="33">
        <f>25259*0.002</f>
        <v>50.518000000000001</v>
      </c>
      <c r="D4" s="33">
        <f>22822*0.002</f>
        <v>45.643999999999998</v>
      </c>
      <c r="E4" s="32" t="s">
        <v>66</v>
      </c>
      <c r="F4" s="32"/>
      <c r="G4" s="33"/>
      <c r="H4" s="33"/>
    </row>
    <row r="5" spans="1:8" x14ac:dyDescent="0.2">
      <c r="A5" s="32" t="s">
        <v>60</v>
      </c>
      <c r="B5" s="32">
        <v>34.4</v>
      </c>
      <c r="C5" s="33">
        <v>77.567999999999998</v>
      </c>
      <c r="D5" s="33">
        <v>19.391999999999999</v>
      </c>
      <c r="E5" s="32" t="s">
        <v>60</v>
      </c>
      <c r="F5" s="32"/>
      <c r="G5" s="33"/>
      <c r="H5" s="33"/>
    </row>
    <row r="6" spans="1:8" x14ac:dyDescent="0.2">
      <c r="A6" s="32" t="s">
        <v>61</v>
      </c>
      <c r="B6" s="32">
        <v>31.6</v>
      </c>
      <c r="C6" s="32"/>
      <c r="D6" s="32"/>
      <c r="E6" s="32" t="s">
        <v>61</v>
      </c>
      <c r="F6" s="32"/>
      <c r="G6" s="32"/>
      <c r="H6" s="32"/>
    </row>
    <row r="7" spans="1:8" x14ac:dyDescent="0.2">
      <c r="A7" s="32" t="s">
        <v>123</v>
      </c>
      <c r="B7" s="32">
        <v>77.599999999999994</v>
      </c>
      <c r="C7" s="33">
        <f>38291*0.002</f>
        <v>76.582000000000008</v>
      </c>
      <c r="D7" s="33">
        <f>10189*0.002</f>
        <v>20.378</v>
      </c>
      <c r="E7" s="32" t="s">
        <v>123</v>
      </c>
      <c r="F7" s="32"/>
      <c r="G7" s="33"/>
      <c r="H7" s="33"/>
    </row>
    <row r="8" spans="1:8" x14ac:dyDescent="0.2">
      <c r="A8" s="32" t="s">
        <v>124</v>
      </c>
      <c r="B8" s="32">
        <v>64.5</v>
      </c>
      <c r="C8" s="33"/>
      <c r="D8" s="32"/>
      <c r="E8" s="32" t="s">
        <v>124</v>
      </c>
      <c r="F8" s="32"/>
      <c r="G8" s="33"/>
      <c r="H8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676B0-F69C-DC49-8E8E-18149C753E75}">
  <dimension ref="A1:H9"/>
  <sheetViews>
    <sheetView zoomScaleNormal="60" zoomScaleSheetLayoutView="100" workbookViewId="0">
      <selection activeCell="C12" sqref="C12"/>
    </sheetView>
  </sheetViews>
  <sheetFormatPr defaultRowHeight="14.25" x14ac:dyDescent="0.2"/>
  <cols>
    <col min="1" max="1" width="13.97265625" style="60" bestFit="1" customWidth="1"/>
    <col min="2" max="2" width="8.3359375" style="60" bestFit="1" customWidth="1"/>
    <col min="3" max="4" width="8.08984375" style="60" bestFit="1" customWidth="1"/>
    <col min="5" max="5" width="13.97265625" style="60" bestFit="1" customWidth="1"/>
    <col min="6" max="6" width="8.3359375" style="60" bestFit="1" customWidth="1"/>
    <col min="7" max="8" width="8.08984375" style="60" bestFit="1" customWidth="1"/>
  </cols>
  <sheetData>
    <row r="1" spans="1:8" x14ac:dyDescent="0.2">
      <c r="A1" s="67" t="s">
        <v>64</v>
      </c>
      <c r="B1" s="68" t="s">
        <v>33</v>
      </c>
      <c r="C1" s="68" t="s">
        <v>34</v>
      </c>
      <c r="D1" s="68" t="s">
        <v>35</v>
      </c>
      <c r="E1" s="52" t="s">
        <v>127</v>
      </c>
      <c r="F1" s="53" t="s">
        <v>33</v>
      </c>
      <c r="G1" s="53" t="s">
        <v>34</v>
      </c>
      <c r="H1" s="53" t="s">
        <v>35</v>
      </c>
    </row>
    <row r="2" spans="1:8" x14ac:dyDescent="0.2">
      <c r="A2" s="54" t="s">
        <v>37</v>
      </c>
      <c r="B2" s="55">
        <v>70.599999999999994</v>
      </c>
      <c r="C2" s="56">
        <v>76.591999999999999</v>
      </c>
      <c r="D2" s="56">
        <v>20.367999999999999</v>
      </c>
      <c r="E2" s="54" t="s">
        <v>37</v>
      </c>
      <c r="F2" s="55">
        <v>73.7</v>
      </c>
      <c r="G2" s="56">
        <f>42125*0.002</f>
        <v>84.25</v>
      </c>
      <c r="H2" s="56">
        <f>11202*0.002</f>
        <v>22.404</v>
      </c>
    </row>
    <row r="3" spans="1:8" x14ac:dyDescent="0.2">
      <c r="A3" s="54" t="s">
        <v>38</v>
      </c>
      <c r="B3" s="55">
        <v>27.8</v>
      </c>
      <c r="C3" s="56">
        <f>53.24</f>
        <v>53.24</v>
      </c>
      <c r="D3" s="56">
        <v>44.506</v>
      </c>
      <c r="E3" s="54" t="s">
        <v>38</v>
      </c>
      <c r="F3" s="55">
        <v>29.1</v>
      </c>
      <c r="G3" s="56">
        <f>29285*0.002</f>
        <v>58.57</v>
      </c>
      <c r="H3" s="56">
        <f>24478*0.002</f>
        <v>48.956000000000003</v>
      </c>
    </row>
    <row r="4" spans="1:8" x14ac:dyDescent="0.2">
      <c r="A4" s="54" t="s">
        <v>40</v>
      </c>
      <c r="B4" s="55">
        <v>83.2</v>
      </c>
      <c r="C4" s="56">
        <v>74.33</v>
      </c>
      <c r="D4" s="56">
        <v>22.62</v>
      </c>
      <c r="E4" s="54" t="s">
        <v>40</v>
      </c>
      <c r="F4" s="55"/>
      <c r="G4" s="56"/>
      <c r="H4" s="56"/>
    </row>
    <row r="5" spans="1:8" x14ac:dyDescent="0.2">
      <c r="A5" s="54" t="s">
        <v>42</v>
      </c>
      <c r="B5" s="55">
        <v>131.80000000000001</v>
      </c>
      <c r="C5" s="56">
        <f>34340*0.002</f>
        <v>68.680000000000007</v>
      </c>
      <c r="D5" s="56"/>
      <c r="E5" s="54" t="s">
        <v>42</v>
      </c>
      <c r="F5" s="55">
        <v>138</v>
      </c>
      <c r="G5" s="56">
        <f>37774*0.002</f>
        <v>75.548000000000002</v>
      </c>
      <c r="H5" s="56">
        <f>15554*0.002</f>
        <v>31.108000000000001</v>
      </c>
    </row>
    <row r="6" spans="1:8" x14ac:dyDescent="0.2">
      <c r="A6" s="57" t="s">
        <v>55</v>
      </c>
      <c r="B6" s="58">
        <v>47.8</v>
      </c>
      <c r="C6" s="59">
        <v>75.951999999999998</v>
      </c>
      <c r="D6" s="59">
        <v>21.007999999999999</v>
      </c>
      <c r="E6" s="57" t="s">
        <v>55</v>
      </c>
      <c r="F6" s="58"/>
      <c r="G6" s="59"/>
      <c r="H6" s="59"/>
    </row>
    <row r="7" spans="1:8" x14ac:dyDescent="0.2">
      <c r="A7" s="49" t="s">
        <v>112</v>
      </c>
      <c r="B7" s="55">
        <v>27.9</v>
      </c>
      <c r="C7" s="56">
        <f>14140*0.002</f>
        <v>28.28</v>
      </c>
      <c r="D7" s="56">
        <f>34340*0.002</f>
        <v>68.680000000000007</v>
      </c>
      <c r="E7" s="49" t="s">
        <v>112</v>
      </c>
      <c r="F7" s="49"/>
      <c r="G7" s="50"/>
      <c r="H7" s="50"/>
    </row>
    <row r="8" spans="1:8" x14ac:dyDescent="0.2">
      <c r="A8" s="49" t="s">
        <v>113</v>
      </c>
      <c r="B8" s="55">
        <v>11.4</v>
      </c>
      <c r="C8" s="49"/>
      <c r="D8" s="49"/>
      <c r="E8" s="49" t="s">
        <v>113</v>
      </c>
      <c r="F8" s="49"/>
      <c r="G8" s="49"/>
      <c r="H8" s="49"/>
    </row>
    <row r="9" spans="1:8" x14ac:dyDescent="0.2">
      <c r="A9" s="49" t="s">
        <v>121</v>
      </c>
      <c r="B9" s="49"/>
      <c r="C9" s="49"/>
      <c r="D9" s="49"/>
      <c r="E9" s="49" t="s">
        <v>121</v>
      </c>
      <c r="F9" s="55">
        <v>86.6</v>
      </c>
      <c r="G9" s="56">
        <f>38592*0.002</f>
        <v>77.183999999999997</v>
      </c>
      <c r="H9" s="56">
        <f>14427*0.002</f>
        <v>28.853999999999999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5F3E-3517-DF45-8644-DDD1EA23A266}">
  <dimension ref="A1:AI200"/>
  <sheetViews>
    <sheetView topLeftCell="A195" workbookViewId="0">
      <pane xSplit="1" topLeftCell="I195" activePane="topRight" state="frozen"/>
      <selection activeCell="Q13" sqref="Q13:Q30"/>
      <selection pane="topRight" activeCell="A201" sqref="A201"/>
    </sheetView>
  </sheetViews>
  <sheetFormatPr defaultColWidth="9.0703125" defaultRowHeight="14.25" x14ac:dyDescent="0.2"/>
  <cols>
    <col min="1" max="1" width="17.8984375" style="1" bestFit="1" customWidth="1"/>
    <col min="2" max="3" width="13.97265625" style="1" bestFit="1" customWidth="1"/>
    <col min="4" max="4" width="11.15234375" style="1" customWidth="1"/>
    <col min="5" max="5" width="12.50390625" style="1" bestFit="1" customWidth="1"/>
    <col min="6" max="6" width="12.13671875" style="1" bestFit="1" customWidth="1"/>
    <col min="7" max="7" width="13.97265625" style="1" bestFit="1" customWidth="1"/>
    <col min="8" max="8" width="14.953125" style="1" bestFit="1" customWidth="1"/>
    <col min="9" max="9" width="15.078125" style="1" bestFit="1" customWidth="1"/>
    <col min="10" max="11" width="13.97265625" style="1" bestFit="1" customWidth="1"/>
    <col min="12" max="12" width="14.953125" style="1" bestFit="1" customWidth="1"/>
    <col min="13" max="13" width="13.97265625" style="1" bestFit="1" customWidth="1"/>
    <col min="14" max="14" width="15.69140625" style="1" bestFit="1" customWidth="1"/>
    <col min="15" max="15" width="12.01171875" style="1" bestFit="1" customWidth="1"/>
    <col min="16" max="16" width="15.69140625" style="1" bestFit="1" customWidth="1"/>
    <col min="17" max="18" width="14.953125" style="1" bestFit="1" customWidth="1"/>
    <col min="19" max="19" width="10.41796875" style="1" bestFit="1" customWidth="1"/>
    <col min="20" max="20" width="9.0703125" style="1"/>
    <col min="21" max="21" width="10.296875" style="1" customWidth="1"/>
    <col min="22" max="23" width="11.3984375" style="1" bestFit="1" customWidth="1"/>
    <col min="24" max="24" width="7.4765625" style="1" bestFit="1" customWidth="1"/>
    <col min="25" max="25" width="9.31640625" style="1" bestFit="1" customWidth="1"/>
    <col min="26" max="26" width="9.0703125" style="1"/>
    <col min="27" max="27" width="6.86328125" style="1" bestFit="1" customWidth="1"/>
    <col min="28" max="28" width="7.23046875" style="1" bestFit="1" customWidth="1"/>
    <col min="29" max="29" width="7.35546875" style="1" customWidth="1"/>
    <col min="30" max="16384" width="9.0703125" style="1"/>
  </cols>
  <sheetData>
    <row r="1" spans="1:26" ht="21" x14ac:dyDescent="0.3">
      <c r="B1" s="70" t="s">
        <v>62</v>
      </c>
      <c r="C1" s="70"/>
      <c r="D1" s="70"/>
    </row>
    <row r="2" spans="1:26" ht="18" customHeight="1" x14ac:dyDescent="0.2">
      <c r="A2" s="3"/>
      <c r="B2" s="71" t="s">
        <v>128</v>
      </c>
      <c r="C2" s="71"/>
      <c r="D2" s="71"/>
      <c r="E2" s="71"/>
    </row>
    <row r="3" spans="1:26" ht="19.5" customHeight="1" x14ac:dyDescent="0.2">
      <c r="A3" s="3" t="s">
        <v>0</v>
      </c>
      <c r="B3" s="71"/>
      <c r="C3" s="71"/>
      <c r="D3" s="71"/>
      <c r="E3" s="71"/>
      <c r="F3" s="31"/>
      <c r="G3" s="31"/>
      <c r="H3" s="31"/>
      <c r="I3" s="31"/>
      <c r="J3" s="31"/>
      <c r="K3" s="41"/>
    </row>
    <row r="4" spans="1:26" x14ac:dyDescent="0.2">
      <c r="A4" s="3" t="s">
        <v>1</v>
      </c>
      <c r="B4" s="1" t="s">
        <v>120</v>
      </c>
      <c r="C4" s="1" t="s">
        <v>2</v>
      </c>
      <c r="D4" s="1" t="s">
        <v>115</v>
      </c>
      <c r="E4" s="1" t="s">
        <v>9</v>
      </c>
      <c r="F4" s="1" t="s">
        <v>116</v>
      </c>
      <c r="G4" s="1" t="s">
        <v>11</v>
      </c>
      <c r="H4" s="1" t="s">
        <v>12</v>
      </c>
      <c r="I4" s="1" t="s">
        <v>111</v>
      </c>
      <c r="J4" s="1" t="s">
        <v>109</v>
      </c>
      <c r="K4" s="1" t="s">
        <v>110</v>
      </c>
      <c r="L4" s="1" t="s">
        <v>131</v>
      </c>
      <c r="M4" s="1" t="s">
        <v>132</v>
      </c>
      <c r="N4" s="1" t="s">
        <v>141</v>
      </c>
      <c r="O4" s="1" t="s">
        <v>96</v>
      </c>
      <c r="P4" s="1" t="s">
        <v>13</v>
      </c>
      <c r="Q4" s="1" t="s">
        <v>14</v>
      </c>
      <c r="R4" s="1" t="s">
        <v>97</v>
      </c>
      <c r="S4" s="1" t="s">
        <v>98</v>
      </c>
      <c r="T4" s="1" t="s">
        <v>105</v>
      </c>
      <c r="U4" s="1" t="s">
        <v>106</v>
      </c>
      <c r="V4" s="1" t="s">
        <v>99</v>
      </c>
      <c r="W4" s="1" t="s">
        <v>133</v>
      </c>
      <c r="X4" s="1" t="s">
        <v>134</v>
      </c>
      <c r="Y4" s="1" t="s">
        <v>135</v>
      </c>
      <c r="Z4" s="1" t="s">
        <v>136</v>
      </c>
    </row>
    <row r="5" spans="1:26" x14ac:dyDescent="0.2">
      <c r="A5" s="39">
        <v>0.65</v>
      </c>
      <c r="B5" s="7">
        <f>K132/9</f>
        <v>16</v>
      </c>
      <c r="C5" s="27">
        <f>(B67+B68+B70+B71+B72+B73+B74+B75+B76+B77+B78+B79+B80+B81+B83+B84+B85+B86+B87+B91+B82)</f>
        <v>780.36800000000005</v>
      </c>
      <c r="D5" s="27">
        <f>D67+D68*2+D69+D70+D71+D72+D73+D74+D75+D76+D77+D78+D79+D80+D81</f>
        <v>1007.5</v>
      </c>
      <c r="E5" s="9">
        <f>F67+F68+F70+F71+F72+F73+F74+F75+F76+F77+F78+F79+F80+F81+F82</f>
        <v>30</v>
      </c>
      <c r="F5" s="9">
        <f>H67+H68+H70+H71+H72+H73+H74+H75+H76+H77+H78+H79+H80+H81</f>
        <v>87.5</v>
      </c>
      <c r="G5" s="10">
        <v>41.5</v>
      </c>
      <c r="H5" s="11">
        <f>J92</f>
        <v>73.7</v>
      </c>
      <c r="I5" s="11">
        <f>J93</f>
        <v>16</v>
      </c>
      <c r="J5" s="7">
        <f>J94</f>
        <v>29.1</v>
      </c>
      <c r="K5" s="7">
        <f>J95</f>
        <v>16</v>
      </c>
      <c r="L5" s="11">
        <f>J96</f>
        <v>0</v>
      </c>
      <c r="M5" s="11">
        <f>J97</f>
        <v>0</v>
      </c>
      <c r="N5" s="7">
        <f>J98</f>
        <v>0</v>
      </c>
      <c r="O5" s="12">
        <f>J99</f>
        <v>138</v>
      </c>
      <c r="P5" s="12">
        <f>J100</f>
        <v>1</v>
      </c>
      <c r="Q5" s="12">
        <f>J101</f>
        <v>35</v>
      </c>
      <c r="R5" s="12">
        <f>J102</f>
        <v>16</v>
      </c>
      <c r="S5" s="2">
        <f>J103</f>
        <v>0</v>
      </c>
      <c r="T5" s="2">
        <f>J104</f>
        <v>0</v>
      </c>
      <c r="U5" s="2">
        <f>J105</f>
        <v>0</v>
      </c>
      <c r="V5" s="2">
        <f>J106</f>
        <v>0</v>
      </c>
      <c r="W5" s="9">
        <f>J107</f>
        <v>0</v>
      </c>
      <c r="X5" s="9">
        <f>J108</f>
        <v>0</v>
      </c>
      <c r="Y5" s="9">
        <f>J109</f>
        <v>0</v>
      </c>
      <c r="Z5" s="9">
        <f>J110</f>
        <v>0</v>
      </c>
    </row>
    <row r="6" spans="1:26" x14ac:dyDescent="0.2">
      <c r="A6" s="26">
        <f>A5</f>
        <v>0.65</v>
      </c>
      <c r="B6" s="1">
        <f>B5</f>
        <v>16</v>
      </c>
      <c r="C6" s="1">
        <f>(C5+D5+100)/100</f>
        <v>18.878679999999999</v>
      </c>
      <c r="E6" s="1">
        <f>(E5+F5+100)/100</f>
        <v>2.1749999999999998</v>
      </c>
      <c r="G6" s="26">
        <f>G5/100</f>
        <v>0.41499999999999998</v>
      </c>
      <c r="H6" s="1">
        <f>(H5*(1+I5/100)+J5*(1+K5/100)+L5*(1+M5/100)+N5+100)/100</f>
        <v>2.1924799999999998</v>
      </c>
      <c r="O6" s="1">
        <f>(100+O5*P5*(Q5*(1+R5/100))/100+S5*T5*(U5*(1+V5/100))/100+W5*X5*(Y5*(1+Z5/100))/100)/100</f>
        <v>1.5602799999999999</v>
      </c>
    </row>
    <row r="7" spans="1:26" x14ac:dyDescent="0.2">
      <c r="A7" s="3"/>
    </row>
    <row r="8" spans="1:26" x14ac:dyDescent="0.2">
      <c r="A8" s="19"/>
      <c r="B8" s="23" t="s">
        <v>15</v>
      </c>
      <c r="C8" s="23" t="s">
        <v>16</v>
      </c>
      <c r="D8" s="23" t="s">
        <v>17</v>
      </c>
      <c r="E8" s="23" t="s">
        <v>18</v>
      </c>
      <c r="G8" s="15" t="s">
        <v>21</v>
      </c>
      <c r="H8" s="15" t="s">
        <v>1</v>
      </c>
      <c r="I8" s="15" t="s">
        <v>22</v>
      </c>
      <c r="J8" s="15" t="s">
        <v>122</v>
      </c>
    </row>
    <row r="9" spans="1:26" x14ac:dyDescent="0.2">
      <c r="A9" s="19" t="s">
        <v>19</v>
      </c>
      <c r="B9" s="4">
        <f>A6*B6*C6*E6*G6*H6</f>
        <v>388.55093893841462</v>
      </c>
      <c r="C9" s="4">
        <f>B9/G6</f>
        <v>936.26732274316782</v>
      </c>
      <c r="D9" s="4">
        <f>IF(G5=40,B9*3,IF(G5=55,B9*2,B9))</f>
        <v>388.55093893841462</v>
      </c>
      <c r="E9" s="20">
        <f>((C11*324)*1.05)/1000000*5</f>
        <v>2.4848874423388363</v>
      </c>
      <c r="G9" s="4" t="s">
        <v>26</v>
      </c>
      <c r="H9" s="24">
        <v>0.65</v>
      </c>
      <c r="I9" s="24">
        <v>2.6</v>
      </c>
      <c r="J9" s="48">
        <v>1</v>
      </c>
    </row>
    <row r="10" spans="1:26" x14ac:dyDescent="0.2">
      <c r="A10" s="19" t="s">
        <v>20</v>
      </c>
      <c r="B10" s="4">
        <f>B9*O5/100+B9*S5/100</f>
        <v>536.20029573501222</v>
      </c>
      <c r="C10" s="4">
        <f>C9*(O6-1)</f>
        <v>524.57185558654191</v>
      </c>
      <c r="G10" s="4" t="s">
        <v>27</v>
      </c>
      <c r="H10" s="24">
        <v>0.75</v>
      </c>
      <c r="I10" s="24">
        <v>3</v>
      </c>
      <c r="J10" s="4">
        <v>1.2</v>
      </c>
    </row>
    <row r="11" spans="1:26" x14ac:dyDescent="0.2">
      <c r="A11" s="19" t="s">
        <v>24</v>
      </c>
      <c r="B11" s="6" t="s">
        <v>25</v>
      </c>
      <c r="C11" s="4">
        <f>C9+C10</f>
        <v>1460.8391783297097</v>
      </c>
      <c r="G11" s="16" t="s">
        <v>29</v>
      </c>
      <c r="H11" s="25">
        <v>0.875</v>
      </c>
      <c r="I11" s="25">
        <v>3.5</v>
      </c>
      <c r="J11" s="16">
        <v>1.3</v>
      </c>
    </row>
    <row r="12" spans="1:26" x14ac:dyDescent="0.2">
      <c r="A12" s="21"/>
      <c r="B12" s="14"/>
      <c r="C12" s="5"/>
      <c r="G12" s="4" t="s">
        <v>32</v>
      </c>
      <c r="H12" s="24">
        <v>0.97499999999999998</v>
      </c>
      <c r="I12" s="24">
        <v>3.9</v>
      </c>
      <c r="J12" s="4">
        <v>1.5</v>
      </c>
      <c r="T12"/>
      <c r="Z12"/>
    </row>
    <row r="13" spans="1:26" x14ac:dyDescent="0.2">
      <c r="A13" s="22" t="s">
        <v>28</v>
      </c>
      <c r="B13" s="17"/>
      <c r="C13" s="17"/>
      <c r="D13" s="17"/>
      <c r="E13" s="17"/>
      <c r="F13" s="17"/>
      <c r="Q13"/>
      <c r="T13"/>
      <c r="W13"/>
    </row>
    <row r="14" spans="1:26" s="17" customFormat="1" x14ac:dyDescent="0.2">
      <c r="A14" s="22" t="s">
        <v>22</v>
      </c>
      <c r="B14" s="17" t="s">
        <v>120</v>
      </c>
      <c r="C14" s="17" t="s">
        <v>23</v>
      </c>
      <c r="D14" s="17" t="s">
        <v>30</v>
      </c>
      <c r="E14" s="17" t="s">
        <v>31</v>
      </c>
      <c r="F14" s="17" t="s">
        <v>101</v>
      </c>
      <c r="G14" s="17" t="s">
        <v>137</v>
      </c>
      <c r="H14" s="17" t="s">
        <v>138</v>
      </c>
      <c r="I14" s="17" t="s">
        <v>139</v>
      </c>
      <c r="J14" s="17" t="s">
        <v>140</v>
      </c>
      <c r="K14" s="17" t="s">
        <v>142</v>
      </c>
      <c r="N14" s="64"/>
      <c r="Q14" s="64"/>
      <c r="T14" s="64"/>
    </row>
    <row r="15" spans="1:26" x14ac:dyDescent="0.2">
      <c r="A15" s="18">
        <v>2.6</v>
      </c>
      <c r="B15" s="7">
        <f>K200/9</f>
        <v>16</v>
      </c>
      <c r="C15" s="27">
        <f>C135+C136+C138+C139+C140+C141+C142+C143+C144+C145+C146+C147+C148+C149+C151+C156+C157+C158+C150</f>
        <v>608.46799999999996</v>
      </c>
      <c r="D15" s="8">
        <f>E135+E136++E138+E139+E140+E141+E142+E143+E144+E145+E146+E147+E148+E149</f>
        <v>717.5</v>
      </c>
      <c r="E15" s="11">
        <f>J179</f>
        <v>0</v>
      </c>
      <c r="F15" s="11">
        <f>J180</f>
        <v>0</v>
      </c>
      <c r="G15" s="7">
        <f>J181</f>
        <v>0</v>
      </c>
      <c r="H15" s="7">
        <f>J182</f>
        <v>0</v>
      </c>
      <c r="I15" s="11">
        <f>J183</f>
        <v>0</v>
      </c>
      <c r="J15" s="11">
        <f>J184</f>
        <v>0</v>
      </c>
      <c r="K15" s="7">
        <f>J185</f>
        <v>0</v>
      </c>
      <c r="N15"/>
      <c r="Q15"/>
      <c r="T15"/>
    </row>
    <row r="16" spans="1:26" x14ac:dyDescent="0.2">
      <c r="A16" s="3">
        <f>A15</f>
        <v>2.6</v>
      </c>
      <c r="B16" s="1">
        <f>B15</f>
        <v>16</v>
      </c>
      <c r="C16" s="1">
        <f>(C15+D15+100)/100</f>
        <v>14.259679999999998</v>
      </c>
      <c r="E16" s="1">
        <f>(E15*(1+F15/100)+G15*(1+H15/100)+I15*(1+J15/100)+100)/100</f>
        <v>1</v>
      </c>
      <c r="N16"/>
      <c r="Q16"/>
      <c r="T16"/>
    </row>
    <row r="17" spans="1:35" x14ac:dyDescent="0.2">
      <c r="A17" s="3"/>
      <c r="Q17"/>
      <c r="T17"/>
      <c r="W17"/>
    </row>
    <row r="18" spans="1:35" x14ac:dyDescent="0.2">
      <c r="A18" s="19"/>
      <c r="B18" s="13" t="s">
        <v>15</v>
      </c>
      <c r="Q18"/>
      <c r="T18"/>
      <c r="W18"/>
      <c r="Z18"/>
    </row>
    <row r="19" spans="1:35" x14ac:dyDescent="0.2">
      <c r="A19" s="19" t="s">
        <v>39</v>
      </c>
      <c r="B19" s="4">
        <f>A16*C16*E16</f>
        <v>37.075167999999998</v>
      </c>
      <c r="Q19"/>
      <c r="T19"/>
      <c r="W19"/>
    </row>
    <row r="20" spans="1:35" x14ac:dyDescent="0.2">
      <c r="A20" s="19" t="s">
        <v>41</v>
      </c>
      <c r="B20" s="4">
        <f>B19*B16</f>
        <v>593.20268799999997</v>
      </c>
      <c r="Q20"/>
      <c r="T20"/>
      <c r="W20"/>
      <c r="Z20"/>
    </row>
    <row r="21" spans="1:35" x14ac:dyDescent="0.2">
      <c r="A21" s="19" t="s">
        <v>43</v>
      </c>
      <c r="B21" s="4">
        <f>B20*9</f>
        <v>5338.824192</v>
      </c>
      <c r="Q21"/>
      <c r="T21"/>
      <c r="W21"/>
    </row>
    <row r="22" spans="1:35" x14ac:dyDescent="0.2">
      <c r="A22" s="3"/>
      <c r="Q22"/>
      <c r="T22"/>
      <c r="W22"/>
    </row>
    <row r="23" spans="1:35" x14ac:dyDescent="0.2">
      <c r="A23" s="22" t="s">
        <v>44</v>
      </c>
      <c r="B23" s="17"/>
      <c r="C23" s="17"/>
      <c r="D23" s="17"/>
      <c r="E23" s="17"/>
      <c r="F23" s="17"/>
      <c r="G23" s="17"/>
      <c r="Q23"/>
      <c r="T23"/>
      <c r="W23"/>
    </row>
    <row r="24" spans="1:35" s="17" customFormat="1" x14ac:dyDescent="0.2">
      <c r="A24" s="17" t="s">
        <v>45</v>
      </c>
      <c r="B24" s="17" t="s">
        <v>46</v>
      </c>
      <c r="C24" s="17" t="s">
        <v>5</v>
      </c>
      <c r="D24" s="17" t="s">
        <v>47</v>
      </c>
      <c r="E24" s="17" t="s">
        <v>103</v>
      </c>
      <c r="F24" s="17" t="s">
        <v>152</v>
      </c>
      <c r="G24" s="17" t="s">
        <v>153</v>
      </c>
      <c r="H24" s="17" t="s">
        <v>154</v>
      </c>
      <c r="I24" s="17" t="s">
        <v>155</v>
      </c>
      <c r="J24" s="17" t="s">
        <v>156</v>
      </c>
      <c r="K24" s="17" t="s">
        <v>114</v>
      </c>
      <c r="L24" s="17" t="s">
        <v>108</v>
      </c>
      <c r="M24" s="17" t="s">
        <v>145</v>
      </c>
      <c r="N24" s="17" t="s">
        <v>146</v>
      </c>
      <c r="O24" s="17" t="s">
        <v>147</v>
      </c>
      <c r="P24" s="17" t="s">
        <v>148</v>
      </c>
      <c r="Q24" s="17" t="s">
        <v>149</v>
      </c>
      <c r="R24" s="17" t="s">
        <v>125</v>
      </c>
      <c r="Z24" s="64"/>
      <c r="AC24" s="64"/>
      <c r="AF24" s="64"/>
    </row>
    <row r="25" spans="1:35" x14ac:dyDescent="0.2">
      <c r="A25" s="9">
        <f>G135+G136+G137+G138+G139+G140+G141+G142+G143+G144+G145+G146+G147+G148+G149+G150</f>
        <v>29</v>
      </c>
      <c r="B25" s="9">
        <f>I135+I136+I137+I138+I139+I140+I141+I142+I143+I144+I145+I146+I147+I148+I149+I151+I156+I157+I158</f>
        <v>113</v>
      </c>
      <c r="C25" s="8">
        <f>E137</f>
        <v>0</v>
      </c>
      <c r="D25" s="11">
        <f>J186</f>
        <v>0</v>
      </c>
      <c r="E25" s="11">
        <f>J187</f>
        <v>0</v>
      </c>
      <c r="F25" s="7">
        <f>J188</f>
        <v>0</v>
      </c>
      <c r="G25" s="7">
        <f>J189</f>
        <v>0</v>
      </c>
      <c r="H25" s="11">
        <f>J190</f>
        <v>0</v>
      </c>
      <c r="I25" s="11">
        <f>J191</f>
        <v>0</v>
      </c>
      <c r="J25" s="7">
        <f>J192</f>
        <v>0</v>
      </c>
      <c r="K25" s="43">
        <f>J193</f>
        <v>0</v>
      </c>
      <c r="L25" s="43">
        <f>J194</f>
        <v>0</v>
      </c>
      <c r="M25" s="9">
        <f>J195</f>
        <v>0</v>
      </c>
      <c r="N25" s="9">
        <f>J196</f>
        <v>0</v>
      </c>
      <c r="O25" s="43">
        <f>J197</f>
        <v>0</v>
      </c>
      <c r="P25" s="43">
        <f>J198</f>
        <v>0</v>
      </c>
      <c r="Q25" s="9">
        <f>J199</f>
        <v>0</v>
      </c>
      <c r="R25" s="43">
        <f>K25*(L25/100+1)+M25*(N25/100+1)+O25*(P25/100+1)+Q25</f>
        <v>0</v>
      </c>
      <c r="Z25"/>
      <c r="AC25"/>
      <c r="AF25"/>
      <c r="AI25"/>
    </row>
    <row r="26" spans="1:35" x14ac:dyDescent="0.2">
      <c r="A26" s="3">
        <f>100/(A25+B25+R25+100)</f>
        <v>0.41322314049586778</v>
      </c>
      <c r="C26" s="1">
        <f>100/(C25+100)</f>
        <v>1</v>
      </c>
      <c r="D26" s="1">
        <f>100/(D25*(1+E25/100)+F25*(1+G25/100)+H25*(1+I25/100)+J25+100)</f>
        <v>1</v>
      </c>
      <c r="P26"/>
      <c r="S26"/>
      <c r="V26"/>
    </row>
    <row r="27" spans="1:35" x14ac:dyDescent="0.2">
      <c r="A27" s="3"/>
      <c r="Q27"/>
      <c r="T27"/>
      <c r="W27"/>
    </row>
    <row r="28" spans="1:35" x14ac:dyDescent="0.2">
      <c r="A28" s="19"/>
      <c r="B28" s="13" t="s">
        <v>15</v>
      </c>
      <c r="C28" s="13" t="s">
        <v>16</v>
      </c>
      <c r="D28" s="13" t="s">
        <v>48</v>
      </c>
      <c r="Q28"/>
      <c r="T28"/>
      <c r="W28"/>
    </row>
    <row r="29" spans="1:35" x14ac:dyDescent="0.2">
      <c r="A29" s="19" t="s">
        <v>19</v>
      </c>
      <c r="B29" s="20">
        <f>B9*A26*C26*D26</f>
        <v>160.55823923074985</v>
      </c>
      <c r="C29" s="20">
        <f>C9*A26*C26*D26</f>
        <v>386.88732344759001</v>
      </c>
      <c r="D29" s="4">
        <f>C29/B19</f>
        <v>10.435214304290948</v>
      </c>
      <c r="Q29"/>
      <c r="T29"/>
      <c r="W29"/>
    </row>
    <row r="30" spans="1:35" x14ac:dyDescent="0.2">
      <c r="A30" s="19" t="s">
        <v>20</v>
      </c>
      <c r="B30" s="20">
        <f>B10*A26*C26*D26</f>
        <v>221.57037013843481</v>
      </c>
      <c r="C30" s="4">
        <f>C10*A26*C26*D26</f>
        <v>216.76522958121566</v>
      </c>
      <c r="D30" s="4">
        <f>C30/B19</f>
        <v>5.8466418704081304</v>
      </c>
      <c r="Q30"/>
      <c r="T30"/>
      <c r="Z30"/>
    </row>
    <row r="31" spans="1:35" x14ac:dyDescent="0.2">
      <c r="A31" s="19" t="s">
        <v>24</v>
      </c>
      <c r="B31" s="6" t="s">
        <v>25</v>
      </c>
      <c r="C31" s="4">
        <f>C11*A26*C26*D26</f>
        <v>603.65255302880564</v>
      </c>
      <c r="D31" s="4">
        <f>C31/B19</f>
        <v>16.28185617469908</v>
      </c>
      <c r="T31"/>
      <c r="Z31"/>
    </row>
    <row r="32" spans="1:35" x14ac:dyDescent="0.2">
      <c r="B32" s="69" t="s">
        <v>49</v>
      </c>
      <c r="C32" s="69"/>
      <c r="D32" s="1">
        <f>B21/C31</f>
        <v>8.8442004679888058</v>
      </c>
      <c r="E32" s="1" t="s">
        <v>50</v>
      </c>
      <c r="T32"/>
      <c r="Z32"/>
    </row>
    <row r="33" spans="1:26" x14ac:dyDescent="0.2">
      <c r="T33"/>
      <c r="Z33"/>
    </row>
    <row r="34" spans="1:26" x14ac:dyDescent="0.2">
      <c r="A34" s="3"/>
    </row>
    <row r="35" spans="1:26" s="17" customFormat="1" x14ac:dyDescent="0.2">
      <c r="A35" s="22" t="s">
        <v>53</v>
      </c>
      <c r="D35" s="40"/>
      <c r="E35" s="40"/>
      <c r="F35" s="40"/>
      <c r="G35" s="40"/>
      <c r="H35" s="40"/>
      <c r="I35" s="40"/>
      <c r="J35" s="40"/>
      <c r="K35" s="42"/>
    </row>
    <row r="36" spans="1:26" s="17" customFormat="1" x14ac:dyDescent="0.2">
      <c r="A36" s="22" t="s">
        <v>1</v>
      </c>
      <c r="B36" s="17" t="s">
        <v>120</v>
      </c>
      <c r="C36" s="17" t="s">
        <v>2</v>
      </c>
      <c r="D36" s="17" t="s">
        <v>36</v>
      </c>
      <c r="E36" s="17" t="s">
        <v>9</v>
      </c>
      <c r="F36" s="17" t="s">
        <v>10</v>
      </c>
      <c r="G36" s="17" t="s">
        <v>11</v>
      </c>
      <c r="H36" s="17" t="s">
        <v>12</v>
      </c>
      <c r="I36" s="17" t="s">
        <v>111</v>
      </c>
      <c r="J36" s="17" t="s">
        <v>109</v>
      </c>
      <c r="K36" s="17" t="s">
        <v>110</v>
      </c>
      <c r="L36" s="17" t="s">
        <v>131</v>
      </c>
      <c r="M36" s="17" t="s">
        <v>132</v>
      </c>
      <c r="N36" s="17" t="s">
        <v>141</v>
      </c>
      <c r="O36" s="17" t="s">
        <v>96</v>
      </c>
      <c r="P36" s="17" t="s">
        <v>13</v>
      </c>
      <c r="Q36" s="17" t="s">
        <v>14</v>
      </c>
      <c r="R36" s="17" t="s">
        <v>97</v>
      </c>
      <c r="S36" s="17" t="s">
        <v>98</v>
      </c>
      <c r="T36" s="17" t="s">
        <v>105</v>
      </c>
      <c r="U36" s="17" t="s">
        <v>106</v>
      </c>
      <c r="V36" s="17" t="s">
        <v>99</v>
      </c>
      <c r="W36" s="17" t="s">
        <v>133</v>
      </c>
      <c r="X36" s="17" t="s">
        <v>159</v>
      </c>
      <c r="Y36" s="17" t="s">
        <v>135</v>
      </c>
      <c r="Z36" s="17" t="s">
        <v>136</v>
      </c>
    </row>
    <row r="37" spans="1:26" x14ac:dyDescent="0.2">
      <c r="A37" s="39">
        <v>0.65</v>
      </c>
      <c r="B37" s="7">
        <f>B15</f>
        <v>16</v>
      </c>
      <c r="C37" s="27">
        <f>B135+B136+B138+B139+B140+B141+B142+B143+B144+B145+B146+B147+B148+B149+B151+B152+B153+B154+B155+B159+B150</f>
        <v>780.36800000000005</v>
      </c>
      <c r="D37" s="27">
        <f>D135+D136*2+D137+D138+D139+D140+D141+D142+D143+D144+D145+D146+D147+D148+D149+D151+D156+D157+D158</f>
        <v>1007.5</v>
      </c>
      <c r="E37" s="9">
        <f>F135+F136+F138+F139+F140+F141+F142+F143+F144+F145+F146+F147+F148+F149+F150</f>
        <v>30</v>
      </c>
      <c r="F37" s="9">
        <f>H135+H136+H138+H139+H140+H141+H142+H143+H144+H145+H146+H147+H148+H149</f>
        <v>87.5</v>
      </c>
      <c r="G37" s="10">
        <v>41.5</v>
      </c>
      <c r="H37" s="11">
        <f>J160</f>
        <v>73.7</v>
      </c>
      <c r="I37" s="11">
        <f>J161</f>
        <v>16</v>
      </c>
      <c r="J37" s="7">
        <f>J162</f>
        <v>29.1</v>
      </c>
      <c r="K37" s="7">
        <f>J163</f>
        <v>16</v>
      </c>
      <c r="L37" s="11">
        <f>J164</f>
        <v>0</v>
      </c>
      <c r="M37" s="11">
        <f>J165</f>
        <v>0</v>
      </c>
      <c r="N37" s="7">
        <f>J166</f>
        <v>0</v>
      </c>
      <c r="O37" s="12">
        <f>J167</f>
        <v>138</v>
      </c>
      <c r="P37" s="12">
        <f>J168</f>
        <v>1</v>
      </c>
      <c r="Q37" s="12">
        <f>J169</f>
        <v>35</v>
      </c>
      <c r="R37" s="12">
        <f>J170</f>
        <v>16</v>
      </c>
      <c r="S37" s="2">
        <f>J171</f>
        <v>0</v>
      </c>
      <c r="T37" s="2">
        <f>J172</f>
        <v>0</v>
      </c>
      <c r="U37" s="2">
        <f>J173</f>
        <v>0</v>
      </c>
      <c r="V37" s="2">
        <f>J174</f>
        <v>0</v>
      </c>
      <c r="W37" s="9">
        <f>J175</f>
        <v>0</v>
      </c>
      <c r="X37" s="9">
        <f>J176</f>
        <v>0</v>
      </c>
      <c r="Y37" s="9">
        <f>J177</f>
        <v>0</v>
      </c>
      <c r="Z37" s="9">
        <f>J178</f>
        <v>0</v>
      </c>
    </row>
    <row r="38" spans="1:26" x14ac:dyDescent="0.2">
      <c r="A38" s="26">
        <f>A37</f>
        <v>0.65</v>
      </c>
      <c r="B38" s="1">
        <f>B37</f>
        <v>16</v>
      </c>
      <c r="C38" s="1">
        <f>(C37+D37+100)/100</f>
        <v>18.878679999999999</v>
      </c>
      <c r="E38" s="1">
        <f>(E37+F37+100)/100</f>
        <v>2.1749999999999998</v>
      </c>
      <c r="G38" s="26">
        <f>G37/100</f>
        <v>0.41499999999999998</v>
      </c>
      <c r="H38" s="1">
        <f>(H37*(1+I37/100)+J37*(1+K37/100)+L37*(M37/100)+N37+100)/100</f>
        <v>2.1924799999999998</v>
      </c>
      <c r="O38" s="1">
        <f>(100+O37*P37*(Q37*(1+R37/100))/100+S37*T37*(U37*(1+V37/100))/100+W37*X37*(Y37*(1+Z37/100))/100)/100</f>
        <v>1.5602799999999999</v>
      </c>
    </row>
    <row r="39" spans="1:26" x14ac:dyDescent="0.2">
      <c r="A39" s="3"/>
    </row>
    <row r="40" spans="1:26" x14ac:dyDescent="0.2">
      <c r="A40" s="19"/>
      <c r="B40" s="23" t="s">
        <v>15</v>
      </c>
      <c r="C40" s="23" t="s">
        <v>16</v>
      </c>
      <c r="D40" s="23" t="s">
        <v>17</v>
      </c>
      <c r="E40" s="23" t="s">
        <v>18</v>
      </c>
    </row>
    <row r="41" spans="1:26" x14ac:dyDescent="0.2">
      <c r="A41" s="19" t="s">
        <v>19</v>
      </c>
      <c r="B41" s="4">
        <f>A38*B38*C38*E38*G38*H38</f>
        <v>388.55093893841462</v>
      </c>
      <c r="C41" s="4">
        <f>B41/G38</f>
        <v>936.26732274316782</v>
      </c>
      <c r="D41" s="4">
        <f>IF(G37=40,B41*3,IF(G37=55,B41*2,B41))</f>
        <v>388.55093893841462</v>
      </c>
      <c r="E41" s="20">
        <f>((C43*324)*1.05)/1000000*5</f>
        <v>2.4848874423388363</v>
      </c>
    </row>
    <row r="42" spans="1:26" x14ac:dyDescent="0.2">
      <c r="A42" s="19" t="s">
        <v>20</v>
      </c>
      <c r="B42" s="4">
        <f>B41*O37/100+B41*S37/100</f>
        <v>536.20029573501222</v>
      </c>
      <c r="C42" s="4">
        <f>C41*(O38-1)</f>
        <v>524.57185558654191</v>
      </c>
    </row>
    <row r="43" spans="1:26" x14ac:dyDescent="0.2">
      <c r="A43" s="19" t="s">
        <v>24</v>
      </c>
      <c r="B43" s="6" t="s">
        <v>25</v>
      </c>
      <c r="C43" s="4">
        <f>C41+C42</f>
        <v>1460.8391783297097</v>
      </c>
    </row>
    <row r="44" spans="1:26" x14ac:dyDescent="0.2">
      <c r="A44" s="21"/>
      <c r="B44" s="14"/>
      <c r="C44" s="5"/>
    </row>
    <row r="45" spans="1:26" s="17" customFormat="1" x14ac:dyDescent="0.2">
      <c r="A45" s="44" t="s">
        <v>54</v>
      </c>
      <c r="B45" s="45"/>
      <c r="C45" s="45"/>
      <c r="D45" s="45"/>
      <c r="E45" s="45"/>
      <c r="F45" s="45"/>
      <c r="N45" s="1"/>
      <c r="O45" s="1"/>
      <c r="P45" s="1"/>
      <c r="Q45" s="1"/>
      <c r="R45" s="1"/>
      <c r="S45" s="1"/>
    </row>
    <row r="46" spans="1:26" s="45" customFormat="1" x14ac:dyDescent="0.2">
      <c r="A46" s="44" t="s">
        <v>22</v>
      </c>
      <c r="B46" s="45" t="s">
        <v>120</v>
      </c>
      <c r="C46" s="45" t="s">
        <v>23</v>
      </c>
      <c r="D46" s="45" t="s">
        <v>117</v>
      </c>
      <c r="E46" s="45" t="s">
        <v>31</v>
      </c>
      <c r="F46" s="45" t="s">
        <v>101</v>
      </c>
      <c r="G46" s="45" t="s">
        <v>137</v>
      </c>
      <c r="H46" s="45" t="s">
        <v>138</v>
      </c>
      <c r="I46" s="45" t="s">
        <v>139</v>
      </c>
      <c r="J46" s="45" t="s">
        <v>140</v>
      </c>
      <c r="K46" s="45" t="s">
        <v>142</v>
      </c>
    </row>
    <row r="47" spans="1:26" x14ac:dyDescent="0.2">
      <c r="A47" s="18">
        <v>2.6</v>
      </c>
      <c r="B47" s="7">
        <f>B5</f>
        <v>16</v>
      </c>
      <c r="C47" s="27">
        <f>C67+C68+C69+C70+C71+C72+C73+C74+C75+C76+C77+C78+C79+C80+C81+C83+C88+C89+C90+C82</f>
        <v>608.46799999999996</v>
      </c>
      <c r="D47" s="8">
        <f>E67+E68++E70+E71+E72+E73+E74+E75+E76+E77+E78+E79+E80+E81+E88+E89+E90</f>
        <v>717.5</v>
      </c>
      <c r="E47" s="11">
        <f>J111</f>
        <v>29.1</v>
      </c>
      <c r="F47" s="11">
        <f>J112</f>
        <v>16</v>
      </c>
      <c r="G47" s="7">
        <f>J113</f>
        <v>0</v>
      </c>
      <c r="H47" s="7">
        <f>J114</f>
        <v>0</v>
      </c>
      <c r="I47" s="11">
        <f>J115</f>
        <v>0</v>
      </c>
      <c r="J47" s="11">
        <f>J116</f>
        <v>0</v>
      </c>
      <c r="K47" s="7">
        <f>J117</f>
        <v>0</v>
      </c>
    </row>
    <row r="48" spans="1:26" x14ac:dyDescent="0.2">
      <c r="A48" s="3">
        <f>A47</f>
        <v>2.6</v>
      </c>
      <c r="B48" s="1">
        <f>B47</f>
        <v>16</v>
      </c>
      <c r="C48" s="1">
        <f>(C47+D47+100)/100</f>
        <v>14.259679999999998</v>
      </c>
      <c r="E48" s="1">
        <f>(E47*(1+F47/100)+G47*(1+H47/100)+I47*(1+J47/100)+K47+100)/100</f>
        <v>1.3375600000000001</v>
      </c>
    </row>
    <row r="49" spans="1:19" x14ac:dyDescent="0.2">
      <c r="A49" s="3"/>
    </row>
    <row r="50" spans="1:19" x14ac:dyDescent="0.2">
      <c r="A50" s="19"/>
      <c r="B50" s="13" t="s">
        <v>15</v>
      </c>
    </row>
    <row r="51" spans="1:19" x14ac:dyDescent="0.2">
      <c r="A51" s="19" t="s">
        <v>39</v>
      </c>
      <c r="B51" s="4">
        <f>A48*C48*E48</f>
        <v>49.59026171008</v>
      </c>
    </row>
    <row r="52" spans="1:19" x14ac:dyDescent="0.2">
      <c r="A52" s="19" t="s">
        <v>41</v>
      </c>
      <c r="B52" s="4">
        <f>B51*B48</f>
        <v>793.44418736128</v>
      </c>
    </row>
    <row r="53" spans="1:19" x14ac:dyDescent="0.2">
      <c r="A53" s="19" t="s">
        <v>43</v>
      </c>
      <c r="B53" s="4">
        <f>B52*9</f>
        <v>7140.9976862515196</v>
      </c>
    </row>
    <row r="54" spans="1:19" x14ac:dyDescent="0.2">
      <c r="A54" s="3"/>
    </row>
    <row r="55" spans="1:19" s="17" customFormat="1" x14ac:dyDescent="0.2">
      <c r="A55" s="44" t="s">
        <v>51</v>
      </c>
      <c r="B55" s="45"/>
      <c r="C55" s="45"/>
      <c r="D55" s="45"/>
      <c r="E55" s="45"/>
      <c r="F55" s="45"/>
      <c r="G55" s="45"/>
    </row>
    <row r="56" spans="1:19" s="17" customFormat="1" x14ac:dyDescent="0.2">
      <c r="A56" s="45" t="s">
        <v>45</v>
      </c>
      <c r="B56" s="45" t="s">
        <v>118</v>
      </c>
      <c r="C56" s="45" t="s">
        <v>5</v>
      </c>
      <c r="D56" s="45" t="s">
        <v>47</v>
      </c>
      <c r="E56" s="45" t="s">
        <v>103</v>
      </c>
      <c r="F56" s="45" t="s">
        <v>152</v>
      </c>
      <c r="G56" s="45" t="s">
        <v>153</v>
      </c>
      <c r="H56" s="45" t="s">
        <v>154</v>
      </c>
      <c r="I56" s="45" t="s">
        <v>155</v>
      </c>
      <c r="J56" s="45" t="s">
        <v>156</v>
      </c>
      <c r="K56" s="45" t="s">
        <v>114</v>
      </c>
      <c r="L56" s="45" t="s">
        <v>108</v>
      </c>
      <c r="M56" s="45" t="s">
        <v>145</v>
      </c>
      <c r="N56" s="45" t="s">
        <v>146</v>
      </c>
      <c r="O56" s="45" t="s">
        <v>147</v>
      </c>
      <c r="P56" s="45" t="s">
        <v>148</v>
      </c>
      <c r="Q56" s="45" t="s">
        <v>149</v>
      </c>
      <c r="R56" s="45" t="s">
        <v>125</v>
      </c>
    </row>
    <row r="57" spans="1:19" x14ac:dyDescent="0.2">
      <c r="A57" s="9">
        <f>G67+G68+G70+G71+G72+G73+G74+G75+G76+G77+G78+G79+G80+G81+G82</f>
        <v>29</v>
      </c>
      <c r="B57" s="9">
        <f>I67+I68+I69+I70+I71+I72+I73+I74+I75+I76+I77+I78+I79+I80+I81</f>
        <v>113</v>
      </c>
      <c r="C57" s="8">
        <f>E69</f>
        <v>0</v>
      </c>
      <c r="D57" s="11">
        <f>J118</f>
        <v>0</v>
      </c>
      <c r="E57" s="11">
        <f>J119</f>
        <v>0</v>
      </c>
      <c r="F57" s="7">
        <f>J120</f>
        <v>0</v>
      </c>
      <c r="G57" s="7">
        <f>J121</f>
        <v>0</v>
      </c>
      <c r="H57" s="11">
        <f>J122</f>
        <v>0</v>
      </c>
      <c r="I57" s="11">
        <f>J123</f>
        <v>0</v>
      </c>
      <c r="J57" s="7">
        <f>J124</f>
        <v>0</v>
      </c>
      <c r="K57" s="2">
        <f>J125</f>
        <v>0</v>
      </c>
      <c r="L57" s="2">
        <f>J126</f>
        <v>0</v>
      </c>
      <c r="M57" s="9">
        <f>J127</f>
        <v>0</v>
      </c>
      <c r="N57" s="9">
        <f>J128</f>
        <v>0</v>
      </c>
      <c r="O57" s="43">
        <f>J129</f>
        <v>0</v>
      </c>
      <c r="P57" s="43">
        <f>J130</f>
        <v>0</v>
      </c>
      <c r="Q57" s="9">
        <f>J131</f>
        <v>0</v>
      </c>
      <c r="R57" s="43">
        <f>K57*(L57/100+1)+M57*(N57/100+1)+O57*(P57/100+1)+Q57</f>
        <v>0</v>
      </c>
    </row>
    <row r="58" spans="1:19" x14ac:dyDescent="0.2">
      <c r="A58" s="3">
        <f>100/(A57+B57+R57+100)</f>
        <v>0.41322314049586778</v>
      </c>
      <c r="C58" s="1">
        <f>100/(C57+100)</f>
        <v>1</v>
      </c>
      <c r="D58" s="1">
        <f>100/(D57*(1+E57/100)+F57*(1+G57/100)+H57*(1+I57/100)+J57+100)</f>
        <v>1</v>
      </c>
    </row>
    <row r="59" spans="1:19" x14ac:dyDescent="0.2">
      <c r="A59" s="3"/>
    </row>
    <row r="60" spans="1:19" x14ac:dyDescent="0.2">
      <c r="A60" s="19"/>
      <c r="B60" s="13" t="s">
        <v>15</v>
      </c>
      <c r="C60" s="13" t="s">
        <v>16</v>
      </c>
      <c r="D60" s="13" t="s">
        <v>48</v>
      </c>
      <c r="L60" s="17"/>
      <c r="M60" s="17"/>
      <c r="N60" s="17"/>
      <c r="O60" s="17"/>
      <c r="P60" s="17"/>
      <c r="Q60" s="17"/>
      <c r="R60" s="17"/>
      <c r="S60" s="17"/>
    </row>
    <row r="61" spans="1:19" x14ac:dyDescent="0.2">
      <c r="A61" s="19" t="s">
        <v>19</v>
      </c>
      <c r="B61" s="20">
        <f>B41*A58*C58*D58</f>
        <v>160.55823923074985</v>
      </c>
      <c r="C61" s="4">
        <f>C41*A58*C58*D58</f>
        <v>386.88732344759001</v>
      </c>
      <c r="D61" s="4">
        <f>C61/B51</f>
        <v>7.8016794045059266</v>
      </c>
    </row>
    <row r="62" spans="1:19" x14ac:dyDescent="0.2">
      <c r="A62" s="19" t="s">
        <v>20</v>
      </c>
      <c r="B62" s="20">
        <f>B42*A58*C58*D58</f>
        <v>221.57037013843481</v>
      </c>
      <c r="C62" s="4">
        <f>C42*A58*C58*D58</f>
        <v>216.76522958121566</v>
      </c>
      <c r="D62" s="4">
        <f>C62/B51</f>
        <v>4.3711249367565799</v>
      </c>
    </row>
    <row r="63" spans="1:19" x14ac:dyDescent="0.2">
      <c r="A63" s="19" t="s">
        <v>24</v>
      </c>
      <c r="B63" s="6" t="s">
        <v>25</v>
      </c>
      <c r="C63" s="4">
        <f>C43*A58*C58*D58</f>
        <v>603.65255302880564</v>
      </c>
      <c r="D63" s="4">
        <f>C63/B51</f>
        <v>12.172804341262506</v>
      </c>
      <c r="G63" s="28"/>
      <c r="H63" s="26"/>
    </row>
    <row r="64" spans="1:19" x14ac:dyDescent="0.2">
      <c r="B64" s="69" t="s">
        <v>52</v>
      </c>
      <c r="C64" s="69"/>
      <c r="D64" s="1">
        <f>B53/C63</f>
        <v>11.829648777963106</v>
      </c>
      <c r="E64" s="1" t="s">
        <v>50</v>
      </c>
    </row>
    <row r="65" spans="1:19" x14ac:dyDescent="0.2">
      <c r="K65" s="17"/>
      <c r="L65" s="17"/>
      <c r="M65" s="17"/>
      <c r="N65" s="17"/>
      <c r="O65" s="17"/>
      <c r="P65" s="17"/>
      <c r="Q65" s="17"/>
      <c r="R65" s="17"/>
      <c r="S65" s="17"/>
    </row>
    <row r="66" spans="1:19" x14ac:dyDescent="0.2">
      <c r="A66" s="37" t="s">
        <v>80</v>
      </c>
      <c r="B66" s="37" t="s">
        <v>63</v>
      </c>
      <c r="C66" s="38" t="s">
        <v>76</v>
      </c>
      <c r="D66" s="37" t="s">
        <v>115</v>
      </c>
      <c r="E66" s="37" t="s">
        <v>117</v>
      </c>
      <c r="F66" s="37" t="s">
        <v>87</v>
      </c>
      <c r="G66" s="37" t="s">
        <v>88</v>
      </c>
      <c r="H66" s="37" t="s">
        <v>116</v>
      </c>
      <c r="I66" s="37" t="s">
        <v>118</v>
      </c>
      <c r="J66" s="37" t="s">
        <v>104</v>
      </c>
      <c r="K66" s="47" t="s">
        <v>119</v>
      </c>
      <c r="L66" s="17"/>
      <c r="M66" s="17"/>
      <c r="N66" s="17"/>
      <c r="O66" s="17"/>
      <c r="P66" s="17"/>
      <c r="Q66" s="17"/>
      <c r="R66" s="17"/>
      <c r="S66" s="17"/>
    </row>
    <row r="67" spans="1:19" x14ac:dyDescent="0.2">
      <c r="A67" s="1" t="s">
        <v>3</v>
      </c>
      <c r="D67" s="1">
        <v>60</v>
      </c>
      <c r="E67" s="1">
        <v>60</v>
      </c>
      <c r="H67" s="1">
        <v>37.5</v>
      </c>
      <c r="I67" s="1">
        <v>25</v>
      </c>
    </row>
    <row r="68" spans="1:19" x14ac:dyDescent="0.2">
      <c r="A68" s="1" t="s">
        <v>4</v>
      </c>
      <c r="D68" s="1">
        <v>300</v>
      </c>
      <c r="E68" s="1">
        <v>300</v>
      </c>
      <c r="H68" s="1">
        <v>50</v>
      </c>
      <c r="I68" s="1">
        <v>50</v>
      </c>
    </row>
    <row r="69" spans="1:19" x14ac:dyDescent="0.2">
      <c r="A69" s="1" t="s">
        <v>5</v>
      </c>
    </row>
    <row r="70" spans="1:19" x14ac:dyDescent="0.2">
      <c r="A70" s="1" t="s">
        <v>79</v>
      </c>
      <c r="B70" s="1">
        <v>34</v>
      </c>
      <c r="L70" s="17"/>
      <c r="M70" s="17"/>
      <c r="N70" s="17"/>
      <c r="O70" s="17"/>
      <c r="P70" s="17"/>
      <c r="Q70" s="17"/>
      <c r="R70" s="17"/>
      <c r="S70" s="17"/>
    </row>
    <row r="71" spans="1:19" x14ac:dyDescent="0.2">
      <c r="A71" s="1" t="s">
        <v>6</v>
      </c>
      <c r="B71" s="1">
        <v>330</v>
      </c>
      <c r="C71" s="1">
        <v>330</v>
      </c>
      <c r="D71" s="1">
        <v>330</v>
      </c>
      <c r="E71" s="1">
        <v>330</v>
      </c>
    </row>
    <row r="72" spans="1:19" x14ac:dyDescent="0.2">
      <c r="A72" s="1" t="s">
        <v>74</v>
      </c>
    </row>
    <row r="73" spans="1:19" x14ac:dyDescent="0.2">
      <c r="A73" s="1" t="s">
        <v>7</v>
      </c>
      <c r="F73" s="1">
        <v>20</v>
      </c>
      <c r="I73" s="1">
        <v>35</v>
      </c>
    </row>
    <row r="74" spans="1:19" x14ac:dyDescent="0.2">
      <c r="A74" s="1" t="s">
        <v>8</v>
      </c>
      <c r="B74" s="1">
        <v>14.5</v>
      </c>
      <c r="C74" s="1">
        <v>14.5</v>
      </c>
      <c r="D74" s="1">
        <v>14.5</v>
      </c>
      <c r="E74" s="1">
        <v>14.5</v>
      </c>
    </row>
    <row r="75" spans="1:19" x14ac:dyDescent="0.2">
      <c r="A75" s="1" t="s">
        <v>67</v>
      </c>
      <c r="B75" s="1">
        <v>3</v>
      </c>
      <c r="C75" s="1">
        <v>6</v>
      </c>
      <c r="D75" s="1">
        <v>3</v>
      </c>
      <c r="E75" s="1">
        <v>3</v>
      </c>
      <c r="I75" s="1">
        <v>3</v>
      </c>
    </row>
    <row r="76" spans="1:19" x14ac:dyDescent="0.2">
      <c r="A76" s="1" t="s">
        <v>75</v>
      </c>
      <c r="L76" s="17"/>
      <c r="M76" s="17"/>
      <c r="N76" s="17"/>
      <c r="O76" s="17"/>
      <c r="P76" s="17"/>
      <c r="Q76" s="17"/>
      <c r="R76" s="17"/>
      <c r="S76" s="17"/>
    </row>
    <row r="77" spans="1:19" x14ac:dyDescent="0.2">
      <c r="A77" s="1" t="s">
        <v>68</v>
      </c>
    </row>
    <row r="78" spans="1:19" x14ac:dyDescent="0.2">
      <c r="A78" s="1" t="s">
        <v>69</v>
      </c>
      <c r="B78" s="1">
        <v>3</v>
      </c>
      <c r="C78" s="1">
        <v>3</v>
      </c>
      <c r="F78" s="1">
        <v>10</v>
      </c>
      <c r="G78" s="1">
        <v>10</v>
      </c>
    </row>
    <row r="79" spans="1:19" x14ac:dyDescent="0.2">
      <c r="A79" s="1" t="s">
        <v>70</v>
      </c>
    </row>
    <row r="80" spans="1:19" x14ac:dyDescent="0.2">
      <c r="A80" s="1" t="s">
        <v>71</v>
      </c>
    </row>
    <row r="81" spans="1:10" x14ac:dyDescent="0.2">
      <c r="A81" s="1" t="s">
        <v>72</v>
      </c>
      <c r="B81" s="1">
        <v>153</v>
      </c>
      <c r="C81" s="1">
        <v>138</v>
      </c>
      <c r="E81" s="1">
        <v>10</v>
      </c>
      <c r="G81" s="1">
        <v>19</v>
      </c>
    </row>
    <row r="82" spans="1:10" x14ac:dyDescent="0.2">
      <c r="A82" s="1" t="s">
        <v>160</v>
      </c>
    </row>
    <row r="83" spans="1:10" x14ac:dyDescent="0.2">
      <c r="A83" s="1" t="s">
        <v>90</v>
      </c>
      <c r="B83" s="1">
        <v>14.5</v>
      </c>
      <c r="C83" s="1">
        <v>14.5</v>
      </c>
    </row>
    <row r="84" spans="1:10" x14ac:dyDescent="0.2">
      <c r="A84" s="1" t="s">
        <v>73</v>
      </c>
      <c r="B84" s="1">
        <v>10</v>
      </c>
    </row>
    <row r="85" spans="1:10" x14ac:dyDescent="0.2">
      <c r="A85" s="1" t="s">
        <v>34</v>
      </c>
      <c r="B85" s="26">
        <v>84.25</v>
      </c>
    </row>
    <row r="86" spans="1:10" x14ac:dyDescent="0.2">
      <c r="A86" s="1" t="s">
        <v>81</v>
      </c>
      <c r="B86" s="26">
        <v>58.57</v>
      </c>
    </row>
    <row r="87" spans="1:10" x14ac:dyDescent="0.2">
      <c r="A87" s="1" t="s">
        <v>82</v>
      </c>
      <c r="B87" s="26">
        <v>75.548000000000002</v>
      </c>
    </row>
    <row r="88" spans="1:10" x14ac:dyDescent="0.2">
      <c r="A88" s="1" t="s">
        <v>35</v>
      </c>
      <c r="C88" s="26">
        <v>22.404</v>
      </c>
    </row>
    <row r="89" spans="1:10" x14ac:dyDescent="0.2">
      <c r="A89" s="1" t="s">
        <v>83</v>
      </c>
      <c r="C89" s="26">
        <v>48.956000000000003</v>
      </c>
    </row>
    <row r="90" spans="1:10" x14ac:dyDescent="0.2">
      <c r="A90" s="1" t="s">
        <v>84</v>
      </c>
      <c r="C90" s="26">
        <v>31.108000000000001</v>
      </c>
    </row>
    <row r="91" spans="1:10" x14ac:dyDescent="0.2">
      <c r="A91" s="1" t="s">
        <v>86</v>
      </c>
    </row>
    <row r="92" spans="1:10" x14ac:dyDescent="0.2">
      <c r="A92" s="1" t="s">
        <v>92</v>
      </c>
      <c r="J92" s="1">
        <v>73.7</v>
      </c>
    </row>
    <row r="93" spans="1:10" x14ac:dyDescent="0.2">
      <c r="A93" s="1" t="s">
        <v>93</v>
      </c>
      <c r="J93" s="1">
        <v>16</v>
      </c>
    </row>
    <row r="94" spans="1:10" x14ac:dyDescent="0.2">
      <c r="A94" s="1" t="s">
        <v>94</v>
      </c>
      <c r="J94" s="1">
        <v>29.1</v>
      </c>
    </row>
    <row r="95" spans="1:10" x14ac:dyDescent="0.2">
      <c r="A95" s="1" t="s">
        <v>95</v>
      </c>
      <c r="J95" s="1">
        <v>16</v>
      </c>
    </row>
    <row r="96" spans="1:10" x14ac:dyDescent="0.2">
      <c r="A96" s="1" t="s">
        <v>129</v>
      </c>
    </row>
    <row r="97" spans="1:10" x14ac:dyDescent="0.2">
      <c r="A97" s="1" t="s">
        <v>130</v>
      </c>
    </row>
    <row r="98" spans="1:10" x14ac:dyDescent="0.2">
      <c r="A98" s="1" t="s">
        <v>141</v>
      </c>
    </row>
    <row r="99" spans="1:10" x14ac:dyDescent="0.2">
      <c r="A99" s="1" t="s">
        <v>96</v>
      </c>
      <c r="J99" s="1">
        <v>138</v>
      </c>
    </row>
    <row r="100" spans="1:10" x14ac:dyDescent="0.2">
      <c r="A100" s="1" t="s">
        <v>13</v>
      </c>
      <c r="J100" s="1">
        <v>1</v>
      </c>
    </row>
    <row r="101" spans="1:10" x14ac:dyDescent="0.2">
      <c r="A101" s="1" t="s">
        <v>14</v>
      </c>
      <c r="J101" s="1">
        <v>35</v>
      </c>
    </row>
    <row r="102" spans="1:10" x14ac:dyDescent="0.2">
      <c r="A102" s="1" t="s">
        <v>97</v>
      </c>
      <c r="J102" s="1">
        <v>16</v>
      </c>
    </row>
    <row r="103" spans="1:10" x14ac:dyDescent="0.2">
      <c r="A103" s="1" t="s">
        <v>98</v>
      </c>
    </row>
    <row r="104" spans="1:10" x14ac:dyDescent="0.2">
      <c r="A104" s="1" t="s">
        <v>105</v>
      </c>
    </row>
    <row r="105" spans="1:10" x14ac:dyDescent="0.2">
      <c r="A105" s="1" t="s">
        <v>106</v>
      </c>
    </row>
    <row r="106" spans="1:10" x14ac:dyDescent="0.2">
      <c r="A106" s="1" t="s">
        <v>99</v>
      </c>
    </row>
    <row r="107" spans="1:10" x14ac:dyDescent="0.2">
      <c r="A107" s="1" t="s">
        <v>133</v>
      </c>
    </row>
    <row r="108" spans="1:10" x14ac:dyDescent="0.2">
      <c r="A108" s="1" t="s">
        <v>134</v>
      </c>
    </row>
    <row r="109" spans="1:10" x14ac:dyDescent="0.2">
      <c r="A109" s="1" t="s">
        <v>135</v>
      </c>
    </row>
    <row r="110" spans="1:10" x14ac:dyDescent="0.2">
      <c r="A110" s="1" t="s">
        <v>133</v>
      </c>
    </row>
    <row r="111" spans="1:10" x14ac:dyDescent="0.2">
      <c r="A111" s="1" t="s">
        <v>100</v>
      </c>
      <c r="J111" s="1">
        <v>29.1</v>
      </c>
    </row>
    <row r="112" spans="1:10" x14ac:dyDescent="0.2">
      <c r="A112" s="1" t="s">
        <v>101</v>
      </c>
      <c r="J112" s="1">
        <v>16</v>
      </c>
    </row>
    <row r="113" spans="1:1" x14ac:dyDescent="0.2">
      <c r="A113" s="1" t="s">
        <v>143</v>
      </c>
    </row>
    <row r="114" spans="1:1" x14ac:dyDescent="0.2">
      <c r="A114" s="1" t="s">
        <v>138</v>
      </c>
    </row>
    <row r="115" spans="1:1" x14ac:dyDescent="0.2">
      <c r="A115" s="1" t="s">
        <v>144</v>
      </c>
    </row>
    <row r="116" spans="1:1" x14ac:dyDescent="0.2">
      <c r="A116" s="1" t="s">
        <v>140</v>
      </c>
    </row>
    <row r="117" spans="1:1" x14ac:dyDescent="0.2">
      <c r="A117" s="1" t="s">
        <v>142</v>
      </c>
    </row>
    <row r="118" spans="1:1" x14ac:dyDescent="0.2">
      <c r="A118" s="1" t="s">
        <v>102</v>
      </c>
    </row>
    <row r="119" spans="1:1" x14ac:dyDescent="0.2">
      <c r="A119" s="1" t="s">
        <v>103</v>
      </c>
    </row>
    <row r="120" spans="1:1" x14ac:dyDescent="0.2">
      <c r="A120" s="1" t="s">
        <v>157</v>
      </c>
    </row>
    <row r="121" spans="1:1" x14ac:dyDescent="0.2">
      <c r="A121" s="1" t="s">
        <v>153</v>
      </c>
    </row>
    <row r="122" spans="1:1" x14ac:dyDescent="0.2">
      <c r="A122" s="1" t="s">
        <v>158</v>
      </c>
    </row>
    <row r="123" spans="1:1" x14ac:dyDescent="0.2">
      <c r="A123" s="1" t="s">
        <v>155</v>
      </c>
    </row>
    <row r="124" spans="1:1" x14ac:dyDescent="0.2">
      <c r="A124" s="1" t="s">
        <v>156</v>
      </c>
    </row>
    <row r="125" spans="1:1" x14ac:dyDescent="0.2">
      <c r="A125" s="1" t="s">
        <v>107</v>
      </c>
    </row>
    <row r="126" spans="1:1" x14ac:dyDescent="0.2">
      <c r="A126" s="1" t="s">
        <v>108</v>
      </c>
    </row>
    <row r="127" spans="1:1" x14ac:dyDescent="0.2">
      <c r="A127" s="1" t="s">
        <v>150</v>
      </c>
    </row>
    <row r="128" spans="1:1" x14ac:dyDescent="0.2">
      <c r="A128" s="1" t="s">
        <v>146</v>
      </c>
    </row>
    <row r="129" spans="1:11" x14ac:dyDescent="0.2">
      <c r="A129" s="1" t="s">
        <v>151</v>
      </c>
    </row>
    <row r="130" spans="1:11" x14ac:dyDescent="0.2">
      <c r="A130" s="1" t="s">
        <v>148</v>
      </c>
    </row>
    <row r="131" spans="1:11" x14ac:dyDescent="0.2">
      <c r="A131" s="1" t="s">
        <v>149</v>
      </c>
    </row>
    <row r="132" spans="1:11" x14ac:dyDescent="0.2">
      <c r="A132" s="1" t="s">
        <v>119</v>
      </c>
      <c r="K132" s="1">
        <v>144</v>
      </c>
    </row>
    <row r="134" spans="1:11" x14ac:dyDescent="0.2">
      <c r="A134" s="65" t="s">
        <v>91</v>
      </c>
      <c r="B134" s="65" t="s">
        <v>63</v>
      </c>
      <c r="C134" s="66" t="s">
        <v>76</v>
      </c>
      <c r="D134" s="65" t="s">
        <v>36</v>
      </c>
      <c r="E134" s="65" t="s">
        <v>30</v>
      </c>
      <c r="F134" s="65" t="s">
        <v>87</v>
      </c>
      <c r="G134" s="65" t="s">
        <v>88</v>
      </c>
      <c r="H134" s="65" t="s">
        <v>10</v>
      </c>
      <c r="I134" s="65" t="s">
        <v>46</v>
      </c>
      <c r="J134" s="65" t="s">
        <v>104</v>
      </c>
      <c r="K134" s="65" t="s">
        <v>119</v>
      </c>
    </row>
    <row r="135" spans="1:11" x14ac:dyDescent="0.2">
      <c r="A135" s="1" t="s">
        <v>3</v>
      </c>
      <c r="D135" s="1">
        <v>60</v>
      </c>
      <c r="E135" s="1">
        <v>60</v>
      </c>
      <c r="H135" s="1">
        <v>37.5</v>
      </c>
      <c r="I135" s="1">
        <v>25</v>
      </c>
    </row>
    <row r="136" spans="1:11" x14ac:dyDescent="0.2">
      <c r="A136" s="1" t="s">
        <v>4</v>
      </c>
      <c r="D136" s="1">
        <v>300</v>
      </c>
      <c r="E136" s="1">
        <v>300</v>
      </c>
      <c r="H136" s="1">
        <v>50</v>
      </c>
      <c r="I136" s="1">
        <v>50</v>
      </c>
    </row>
    <row r="137" spans="1:11" x14ac:dyDescent="0.2">
      <c r="A137" s="1" t="s">
        <v>5</v>
      </c>
    </row>
    <row r="138" spans="1:11" x14ac:dyDescent="0.2">
      <c r="A138" s="1" t="s">
        <v>79</v>
      </c>
      <c r="B138" s="1">
        <v>34</v>
      </c>
    </row>
    <row r="139" spans="1:11" x14ac:dyDescent="0.2">
      <c r="A139" s="1" t="s">
        <v>6</v>
      </c>
      <c r="B139" s="1">
        <v>330</v>
      </c>
      <c r="C139" s="1">
        <v>330</v>
      </c>
      <c r="D139" s="1">
        <v>330</v>
      </c>
      <c r="E139" s="1">
        <v>330</v>
      </c>
    </row>
    <row r="140" spans="1:11" x14ac:dyDescent="0.2">
      <c r="A140" s="1" t="s">
        <v>74</v>
      </c>
    </row>
    <row r="141" spans="1:11" x14ac:dyDescent="0.2">
      <c r="A141" s="1" t="s">
        <v>7</v>
      </c>
      <c r="F141" s="1">
        <v>20</v>
      </c>
      <c r="I141" s="1">
        <v>35</v>
      </c>
    </row>
    <row r="142" spans="1:11" x14ac:dyDescent="0.2">
      <c r="A142" s="1" t="s">
        <v>8</v>
      </c>
      <c r="B142" s="1">
        <v>14.5</v>
      </c>
      <c r="C142" s="1">
        <v>14.5</v>
      </c>
      <c r="D142" s="1">
        <v>14.5</v>
      </c>
      <c r="E142" s="1">
        <v>14.5</v>
      </c>
    </row>
    <row r="143" spans="1:11" x14ac:dyDescent="0.2">
      <c r="A143" s="1" t="s">
        <v>67</v>
      </c>
      <c r="B143" s="1">
        <v>3</v>
      </c>
      <c r="C143" s="1">
        <v>6</v>
      </c>
      <c r="D143" s="1">
        <v>3</v>
      </c>
      <c r="E143" s="1">
        <v>3</v>
      </c>
      <c r="I143" s="1">
        <v>3</v>
      </c>
    </row>
    <row r="144" spans="1:11" x14ac:dyDescent="0.2">
      <c r="A144" s="1" t="s">
        <v>75</v>
      </c>
    </row>
    <row r="145" spans="1:10" x14ac:dyDescent="0.2">
      <c r="A145" s="1" t="s">
        <v>68</v>
      </c>
    </row>
    <row r="146" spans="1:10" x14ac:dyDescent="0.2">
      <c r="A146" s="1" t="s">
        <v>69</v>
      </c>
      <c r="B146" s="1">
        <v>3</v>
      </c>
      <c r="C146" s="1">
        <v>3</v>
      </c>
      <c r="F146" s="1">
        <v>10</v>
      </c>
      <c r="G146" s="1">
        <v>10</v>
      </c>
    </row>
    <row r="147" spans="1:10" x14ac:dyDescent="0.2">
      <c r="A147" s="1" t="s">
        <v>70</v>
      </c>
    </row>
    <row r="148" spans="1:10" x14ac:dyDescent="0.2">
      <c r="A148" s="1" t="s">
        <v>71</v>
      </c>
    </row>
    <row r="149" spans="1:10" x14ac:dyDescent="0.2">
      <c r="A149" s="1" t="s">
        <v>72</v>
      </c>
      <c r="B149" s="1">
        <v>153</v>
      </c>
      <c r="C149" s="1">
        <v>138</v>
      </c>
      <c r="E149" s="1">
        <v>10</v>
      </c>
      <c r="G149" s="1">
        <v>19</v>
      </c>
    </row>
    <row r="150" spans="1:10" x14ac:dyDescent="0.2">
      <c r="A150" s="1" t="s">
        <v>160</v>
      </c>
    </row>
    <row r="151" spans="1:10" x14ac:dyDescent="0.2">
      <c r="A151" s="1" t="s">
        <v>90</v>
      </c>
      <c r="B151" s="1">
        <v>14.5</v>
      </c>
      <c r="C151" s="1">
        <v>14.5</v>
      </c>
    </row>
    <row r="152" spans="1:10" x14ac:dyDescent="0.2">
      <c r="A152" s="1" t="s">
        <v>73</v>
      </c>
      <c r="B152" s="1">
        <v>10</v>
      </c>
    </row>
    <row r="153" spans="1:10" x14ac:dyDescent="0.2">
      <c r="A153" s="1" t="s">
        <v>34</v>
      </c>
      <c r="B153" s="26">
        <v>84.25</v>
      </c>
    </row>
    <row r="154" spans="1:10" x14ac:dyDescent="0.2">
      <c r="A154" s="1" t="s">
        <v>81</v>
      </c>
      <c r="B154" s="26">
        <v>58.57</v>
      </c>
    </row>
    <row r="155" spans="1:10" x14ac:dyDescent="0.2">
      <c r="A155" s="1" t="s">
        <v>82</v>
      </c>
      <c r="B155" s="26">
        <v>75.548000000000002</v>
      </c>
    </row>
    <row r="156" spans="1:10" x14ac:dyDescent="0.2">
      <c r="A156" s="1" t="s">
        <v>35</v>
      </c>
      <c r="C156" s="26">
        <v>22.404</v>
      </c>
    </row>
    <row r="157" spans="1:10" x14ac:dyDescent="0.2">
      <c r="A157" s="1" t="s">
        <v>83</v>
      </c>
      <c r="C157" s="26">
        <v>48.956000000000003</v>
      </c>
    </row>
    <row r="158" spans="1:10" x14ac:dyDescent="0.2">
      <c r="A158" s="1" t="s">
        <v>84</v>
      </c>
      <c r="C158" s="26">
        <v>31.108000000000001</v>
      </c>
    </row>
    <row r="159" spans="1:10" x14ac:dyDescent="0.2">
      <c r="A159" s="1" t="s">
        <v>86</v>
      </c>
    </row>
    <row r="160" spans="1:10" x14ac:dyDescent="0.2">
      <c r="A160" s="1" t="s">
        <v>92</v>
      </c>
      <c r="J160" s="1">
        <v>73.7</v>
      </c>
    </row>
    <row r="161" spans="1:10" x14ac:dyDescent="0.2">
      <c r="A161" s="1" t="s">
        <v>93</v>
      </c>
      <c r="J161" s="1">
        <v>16</v>
      </c>
    </row>
    <row r="162" spans="1:10" x14ac:dyDescent="0.2">
      <c r="A162" s="1" t="s">
        <v>94</v>
      </c>
      <c r="J162" s="1">
        <v>29.1</v>
      </c>
    </row>
    <row r="163" spans="1:10" x14ac:dyDescent="0.2">
      <c r="A163" s="1" t="s">
        <v>95</v>
      </c>
      <c r="J163" s="1">
        <v>16</v>
      </c>
    </row>
    <row r="164" spans="1:10" x14ac:dyDescent="0.2">
      <c r="A164" s="1" t="s">
        <v>129</v>
      </c>
    </row>
    <row r="165" spans="1:10" x14ac:dyDescent="0.2">
      <c r="A165" s="1" t="s">
        <v>132</v>
      </c>
    </row>
    <row r="166" spans="1:10" x14ac:dyDescent="0.2">
      <c r="A166" s="1" t="s">
        <v>141</v>
      </c>
    </row>
    <row r="167" spans="1:10" x14ac:dyDescent="0.2">
      <c r="A167" s="1" t="s">
        <v>96</v>
      </c>
      <c r="J167" s="1">
        <v>138</v>
      </c>
    </row>
    <row r="168" spans="1:10" x14ac:dyDescent="0.2">
      <c r="A168" s="1" t="s">
        <v>13</v>
      </c>
      <c r="J168" s="1">
        <v>1</v>
      </c>
    </row>
    <row r="169" spans="1:10" x14ac:dyDescent="0.2">
      <c r="A169" s="1" t="s">
        <v>14</v>
      </c>
      <c r="J169" s="1">
        <v>35</v>
      </c>
    </row>
    <row r="170" spans="1:10" x14ac:dyDescent="0.2">
      <c r="A170" s="1" t="s">
        <v>97</v>
      </c>
      <c r="J170" s="1">
        <v>16</v>
      </c>
    </row>
    <row r="171" spans="1:10" x14ac:dyDescent="0.2">
      <c r="A171" s="1" t="s">
        <v>98</v>
      </c>
    </row>
    <row r="172" spans="1:10" x14ac:dyDescent="0.2">
      <c r="A172" s="1" t="s">
        <v>105</v>
      </c>
    </row>
    <row r="173" spans="1:10" x14ac:dyDescent="0.2">
      <c r="A173" s="1" t="s">
        <v>106</v>
      </c>
    </row>
    <row r="174" spans="1:10" x14ac:dyDescent="0.2">
      <c r="A174" s="1" t="s">
        <v>99</v>
      </c>
    </row>
    <row r="175" spans="1:10" x14ac:dyDescent="0.2">
      <c r="A175" s="1" t="s">
        <v>133</v>
      </c>
    </row>
    <row r="176" spans="1:10" x14ac:dyDescent="0.2">
      <c r="A176" s="1" t="s">
        <v>159</v>
      </c>
    </row>
    <row r="177" spans="1:1" x14ac:dyDescent="0.2">
      <c r="A177" s="1" t="s">
        <v>135</v>
      </c>
    </row>
    <row r="178" spans="1:1" x14ac:dyDescent="0.2">
      <c r="A178" s="1" t="s">
        <v>136</v>
      </c>
    </row>
    <row r="179" spans="1:1" x14ac:dyDescent="0.2">
      <c r="A179" s="1" t="s">
        <v>100</v>
      </c>
    </row>
    <row r="180" spans="1:1" x14ac:dyDescent="0.2">
      <c r="A180" s="1" t="s">
        <v>101</v>
      </c>
    </row>
    <row r="181" spans="1:1" x14ac:dyDescent="0.2">
      <c r="A181" s="1" t="s">
        <v>143</v>
      </c>
    </row>
    <row r="182" spans="1:1" x14ac:dyDescent="0.2">
      <c r="A182" s="1" t="s">
        <v>138</v>
      </c>
    </row>
    <row r="183" spans="1:1" x14ac:dyDescent="0.2">
      <c r="A183" s="1" t="s">
        <v>144</v>
      </c>
    </row>
    <row r="184" spans="1:1" x14ac:dyDescent="0.2">
      <c r="A184" s="1" t="s">
        <v>140</v>
      </c>
    </row>
    <row r="185" spans="1:1" x14ac:dyDescent="0.2">
      <c r="A185" s="1" t="s">
        <v>142</v>
      </c>
    </row>
    <row r="186" spans="1:1" x14ac:dyDescent="0.2">
      <c r="A186" s="1" t="s">
        <v>102</v>
      </c>
    </row>
    <row r="187" spans="1:1" x14ac:dyDescent="0.2">
      <c r="A187" s="1" t="s">
        <v>103</v>
      </c>
    </row>
    <row r="188" spans="1:1" x14ac:dyDescent="0.2">
      <c r="A188" s="1" t="s">
        <v>157</v>
      </c>
    </row>
    <row r="189" spans="1:1" x14ac:dyDescent="0.2">
      <c r="A189" s="1" t="s">
        <v>153</v>
      </c>
    </row>
    <row r="190" spans="1:1" x14ac:dyDescent="0.2">
      <c r="A190" s="1" t="s">
        <v>158</v>
      </c>
    </row>
    <row r="191" spans="1:1" x14ac:dyDescent="0.2">
      <c r="A191" s="1" t="s">
        <v>155</v>
      </c>
    </row>
    <row r="192" spans="1:1" x14ac:dyDescent="0.2">
      <c r="A192" s="1" t="s">
        <v>156</v>
      </c>
    </row>
    <row r="193" spans="1:11" x14ac:dyDescent="0.2">
      <c r="A193" s="1" t="s">
        <v>107</v>
      </c>
    </row>
    <row r="194" spans="1:11" x14ac:dyDescent="0.2">
      <c r="A194" s="1" t="s">
        <v>108</v>
      </c>
    </row>
    <row r="195" spans="1:11" x14ac:dyDescent="0.2">
      <c r="A195" s="1" t="s">
        <v>150</v>
      </c>
    </row>
    <row r="196" spans="1:11" x14ac:dyDescent="0.2">
      <c r="A196" s="1" t="s">
        <v>146</v>
      </c>
    </row>
    <row r="197" spans="1:11" x14ac:dyDescent="0.2">
      <c r="A197" s="1" t="s">
        <v>151</v>
      </c>
    </row>
    <row r="198" spans="1:11" x14ac:dyDescent="0.2">
      <c r="A198" s="1" t="s">
        <v>148</v>
      </c>
    </row>
    <row r="199" spans="1:11" x14ac:dyDescent="0.2">
      <c r="A199" s="1" t="s">
        <v>149</v>
      </c>
    </row>
    <row r="200" spans="1:11" x14ac:dyDescent="0.2">
      <c r="A200" s="1" t="s">
        <v>119</v>
      </c>
      <c r="K200" s="1">
        <v>144</v>
      </c>
    </row>
  </sheetData>
  <mergeCells count="4">
    <mergeCell ref="B1:D1"/>
    <mergeCell ref="B32:C32"/>
    <mergeCell ref="B64:C64"/>
    <mergeCell ref="B2:E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陸軍版戦争シミュレータ</vt:lpstr>
      <vt:lpstr>陸軍英雄のデータ </vt:lpstr>
      <vt:lpstr>海軍英雄のデータ</vt:lpstr>
      <vt:lpstr>海軍版戦争シミュレータ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田中吾郎</cp:lastModifiedBy>
  <cp:revision/>
  <dcterms:created xsi:type="dcterms:W3CDTF">2020-03-08T11:48:58Z</dcterms:created>
  <dcterms:modified xsi:type="dcterms:W3CDTF">2020-06-02T11:04:48Z</dcterms:modified>
  <cp:category/>
  <cp:contentStatus/>
</cp:coreProperties>
</file>